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C:\Users\johnson_l\AppData\Local\Box\Box Edit\Documents\28Y6Vaw4HkyCqa7fwGDSdA==\"/>
    </mc:Choice>
  </mc:AlternateContent>
  <xr:revisionPtr revIDLastSave="0" documentId="13_ncr:1_{5D56B29F-8627-4480-A967-71138572BDBD}" xr6:coauthVersionLast="47" xr6:coauthVersionMax="47" xr10:uidLastSave="{00000000-0000-0000-0000-000000000000}"/>
  <workbookProtection workbookAlgorithmName="SHA-512" workbookHashValue="1lHlne8e3tHEJQxVyhAbzYmY7dRuNA3610Tob15TGXBzLSud7EMVkF4w8pYQmId4awwv6BMze1l++bVBJG+OBg==" workbookSaltValue="f0TH1Yvi2fyue5pRzpoi9w==" workbookSpinCount="100000" lockStructure="1"/>
  <bookViews>
    <workbookView xWindow="-110" yWindow="-110" windowWidth="19420" windowHeight="10300" tabRatio="857" xr2:uid="{00000000-000D-0000-FFFF-FFFF00000000}"/>
  </bookViews>
  <sheets>
    <sheet name="Title Page" sheetId="2" r:id="rId1"/>
    <sheet name="Table of Contents" sheetId="3" r:id="rId2"/>
    <sheet name="Getting Started" sheetId="1" r:id="rId3"/>
    <sheet name="2004 Admin Data" sheetId="29" state="hidden" r:id="rId4"/>
    <sheet name="State Set-Aside Overview" sheetId="4" r:id="rId5"/>
    <sheet name="a. Part B Administration" sheetId="5" r:id="rId6"/>
    <sheet name="b. Part C Administration" sheetId="6" r:id="rId7"/>
    <sheet name="c. Support and Direct Services" sheetId="7" r:id="rId8"/>
    <sheet name="d. PBIS and Mental Health" sheetId="8" r:id="rId9"/>
    <sheet name="e. Personnel Shortages" sheetId="9" r:id="rId10"/>
    <sheet name="f. Capacity Building" sheetId="10" r:id="rId11"/>
    <sheet name="g. Joint Part C Policy" sheetId="11" r:id="rId12"/>
    <sheet name="h. Monitoring and Enforcement" sheetId="14" r:id="rId13"/>
    <sheet name="i. Mediation Process" sheetId="15" r:id="rId14"/>
    <sheet name="j. Support and Direct Services" sheetId="16" r:id="rId15"/>
    <sheet name="k. PBIS and Mental Health" sheetId="17" r:id="rId16"/>
    <sheet name="l. Personnel Shortages" sheetId="18" r:id="rId17"/>
    <sheet name="m. Capacity Building" sheetId="19" r:id="rId18"/>
    <sheet name="n. Paperwork Reduction" sheetId="20" r:id="rId19"/>
    <sheet name="o. Improve Tech Use in Class" sheetId="21" r:id="rId20"/>
    <sheet name="p. Technology for Access" sheetId="22" r:id="rId21"/>
    <sheet name="q. Transition Programs" sheetId="23" r:id="rId22"/>
    <sheet name="r. Alternative Programming" sheetId="24" r:id="rId23"/>
    <sheet name="s. Accom and Alt Assessments" sheetId="25" r:id="rId24"/>
    <sheet name="t. TA for Acad Achievement" sheetId="26" r:id="rId25"/>
    <sheet name="u-v. High Cost Fund" sheetId="27" r:id="rId26"/>
  </sheets>
  <externalReferences>
    <externalReference r:id="rId27"/>
  </externalReferences>
  <definedNames>
    <definedName name="admin">'[1]Admin Maximums'!$A$4:$Z$61</definedName>
    <definedName name="admin_year">'[1]Admin Maximums'!$A$3:$Z$3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7" i="4" l="1"/>
  <c r="G37" i="4"/>
  <c r="E37" i="4"/>
  <c r="C37" i="4"/>
  <c r="D2" i="29" l="1"/>
  <c r="C1" i="27"/>
  <c r="D2" i="27"/>
  <c r="D2" i="26"/>
  <c r="D2" i="25"/>
  <c r="D2" i="24"/>
  <c r="D2" i="23"/>
  <c r="D2" i="22"/>
  <c r="D2" i="21"/>
  <c r="D2" i="20"/>
  <c r="D2" i="19"/>
  <c r="D2" i="18"/>
  <c r="D2" i="17"/>
  <c r="D2" i="16"/>
  <c r="D2" i="15"/>
  <c r="D2" i="14"/>
  <c r="D2" i="11"/>
  <c r="D2" i="10"/>
  <c r="D2" i="9"/>
  <c r="D2" i="8"/>
  <c r="D2" i="7"/>
  <c r="C1" i="6"/>
  <c r="D2" i="6"/>
  <c r="D2" i="5"/>
  <c r="D2" i="4"/>
  <c r="C2" i="11" l="1"/>
  <c r="C1" i="11"/>
  <c r="C2" i="27"/>
  <c r="L2" i="26"/>
  <c r="H2" i="26"/>
  <c r="C2" i="26"/>
  <c r="L2" i="25"/>
  <c r="H2" i="25"/>
  <c r="C2" i="25"/>
  <c r="L2" i="24"/>
  <c r="H2" i="24"/>
  <c r="C2" i="24"/>
  <c r="L2" i="23"/>
  <c r="H2" i="23"/>
  <c r="C2" i="23"/>
  <c r="L2" i="22"/>
  <c r="H2" i="22"/>
  <c r="C2" i="22"/>
  <c r="L2" i="21"/>
  <c r="H2" i="21"/>
  <c r="C2" i="21"/>
  <c r="L2" i="20"/>
  <c r="H2" i="20"/>
  <c r="C2" i="20"/>
  <c r="L2" i="19"/>
  <c r="H2" i="19"/>
  <c r="C2" i="19"/>
  <c r="L2" i="18"/>
  <c r="H2" i="18"/>
  <c r="C2" i="18"/>
  <c r="L2" i="17"/>
  <c r="H2" i="17"/>
  <c r="C2" i="17"/>
  <c r="L2" i="16"/>
  <c r="H2" i="16"/>
  <c r="C2" i="16"/>
  <c r="L2" i="15"/>
  <c r="H2" i="15"/>
  <c r="C2" i="15"/>
  <c r="L2" i="14"/>
  <c r="H2" i="14"/>
  <c r="C2" i="14"/>
  <c r="L2" i="11"/>
  <c r="H2" i="11"/>
  <c r="L2" i="10"/>
  <c r="H2" i="10"/>
  <c r="C2" i="10"/>
  <c r="L2" i="9"/>
  <c r="H2" i="9"/>
  <c r="C2" i="9"/>
  <c r="L2" i="8"/>
  <c r="H2" i="8"/>
  <c r="C2" i="8"/>
  <c r="L2" i="7"/>
  <c r="H2" i="7"/>
  <c r="C2" i="7"/>
  <c r="L2" i="6"/>
  <c r="H2" i="6"/>
  <c r="C2" i="6"/>
  <c r="L2" i="5"/>
  <c r="H2" i="5"/>
  <c r="C2" i="5"/>
  <c r="L2" i="4" l="1"/>
  <c r="H2" i="4"/>
  <c r="E11" i="1" l="1"/>
  <c r="L28" i="4" l="1"/>
  <c r="L27" i="4"/>
  <c r="L25" i="4"/>
  <c r="L24" i="4"/>
  <c r="L22" i="4"/>
  <c r="L21" i="4"/>
  <c r="L20" i="4"/>
  <c r="L17" i="4"/>
  <c r="L16" i="4"/>
  <c r="D13" i="1"/>
  <c r="F13" i="1" s="1"/>
  <c r="E4" i="6" l="1"/>
  <c r="E4" i="7"/>
  <c r="F6" i="1" l="1"/>
  <c r="F12" i="1"/>
  <c r="D7" i="1"/>
  <c r="F24" i="26" l="1"/>
  <c r="F28" i="4" s="1"/>
  <c r="F24" i="25"/>
  <c r="F27" i="4" s="1"/>
  <c r="F24" i="24"/>
  <c r="F26" i="4" s="1"/>
  <c r="F24" i="23"/>
  <c r="F25" i="4" s="1"/>
  <c r="F24" i="22"/>
  <c r="F24" i="4" s="1"/>
  <c r="F24" i="21"/>
  <c r="F23" i="4" s="1"/>
  <c r="F24" i="20"/>
  <c r="F22" i="4" s="1"/>
  <c r="F24" i="19"/>
  <c r="F21" i="4" s="1"/>
  <c r="F24" i="18"/>
  <c r="F20" i="4" s="1"/>
  <c r="F24" i="17"/>
  <c r="F19" i="4" s="1"/>
  <c r="F24" i="16"/>
  <c r="F18" i="4" s="1"/>
  <c r="F24" i="15"/>
  <c r="F17" i="4" s="1"/>
  <c r="F24" i="14"/>
  <c r="F16" i="4" s="1"/>
  <c r="D6" i="27"/>
  <c r="F6" i="27"/>
  <c r="F29" i="4" s="1"/>
  <c r="E5" i="27"/>
  <c r="E4" i="27"/>
  <c r="G4" i="27" s="1"/>
  <c r="L24" i="26"/>
  <c r="J24" i="26"/>
  <c r="J28" i="4" s="1"/>
  <c r="D24" i="26"/>
  <c r="D28" i="4" s="1"/>
  <c r="E23" i="26"/>
  <c r="G23" i="26" s="1"/>
  <c r="H23" i="26" s="1"/>
  <c r="I23" i="26" s="1"/>
  <c r="K23" i="26" s="1"/>
  <c r="M23" i="26" s="1"/>
  <c r="E22" i="26"/>
  <c r="G22" i="26" s="1"/>
  <c r="H22" i="26" s="1"/>
  <c r="E21" i="26"/>
  <c r="G21" i="26" s="1"/>
  <c r="H21" i="26" s="1"/>
  <c r="I21" i="26" s="1"/>
  <c r="E20" i="26"/>
  <c r="G20" i="26" s="1"/>
  <c r="H20" i="26" s="1"/>
  <c r="E19" i="26"/>
  <c r="G19" i="26" s="1"/>
  <c r="H19" i="26" s="1"/>
  <c r="I19" i="26" s="1"/>
  <c r="K19" i="26" s="1"/>
  <c r="M19" i="26" s="1"/>
  <c r="E18" i="26"/>
  <c r="G18" i="26" s="1"/>
  <c r="H18" i="26" s="1"/>
  <c r="I18" i="26" s="1"/>
  <c r="E17" i="26"/>
  <c r="G17" i="26" s="1"/>
  <c r="H17" i="26" s="1"/>
  <c r="I17" i="26" s="1"/>
  <c r="K17" i="26" s="1"/>
  <c r="M17" i="26" s="1"/>
  <c r="E16" i="26"/>
  <c r="G16" i="26" s="1"/>
  <c r="H16" i="26" s="1"/>
  <c r="I16" i="26" s="1"/>
  <c r="K16" i="26" s="1"/>
  <c r="M16" i="26" s="1"/>
  <c r="E15" i="26"/>
  <c r="G15" i="26" s="1"/>
  <c r="H15" i="26" s="1"/>
  <c r="I15" i="26" s="1"/>
  <c r="E14" i="26"/>
  <c r="G14" i="26" s="1"/>
  <c r="H14" i="26" s="1"/>
  <c r="I14" i="26" s="1"/>
  <c r="E13" i="26"/>
  <c r="G13" i="26" s="1"/>
  <c r="H13" i="26" s="1"/>
  <c r="E12" i="26"/>
  <c r="G12" i="26" s="1"/>
  <c r="H12" i="26" s="1"/>
  <c r="I12" i="26" s="1"/>
  <c r="K12" i="26" s="1"/>
  <c r="M12" i="26" s="1"/>
  <c r="E11" i="26"/>
  <c r="G11" i="26" s="1"/>
  <c r="H11" i="26" s="1"/>
  <c r="I11" i="26" s="1"/>
  <c r="E10" i="26"/>
  <c r="G10" i="26" s="1"/>
  <c r="H10" i="26" s="1"/>
  <c r="E9" i="26"/>
  <c r="G9" i="26" s="1"/>
  <c r="H9" i="26" s="1"/>
  <c r="I9" i="26" s="1"/>
  <c r="K9" i="26" s="1"/>
  <c r="M9" i="26" s="1"/>
  <c r="E8" i="26"/>
  <c r="G8" i="26" s="1"/>
  <c r="H8" i="26" s="1"/>
  <c r="I8" i="26" s="1"/>
  <c r="E7" i="26"/>
  <c r="G7" i="26" s="1"/>
  <c r="H7" i="26" s="1"/>
  <c r="I7" i="26" s="1"/>
  <c r="K7" i="26" s="1"/>
  <c r="M7" i="26" s="1"/>
  <c r="E6" i="26"/>
  <c r="G6" i="26" s="1"/>
  <c r="H6" i="26" s="1"/>
  <c r="E5" i="26"/>
  <c r="G5" i="26" s="1"/>
  <c r="H5" i="26" s="1"/>
  <c r="I5" i="26" s="1"/>
  <c r="K5" i="26" s="1"/>
  <c r="M5" i="26" s="1"/>
  <c r="E4" i="26"/>
  <c r="L24" i="25"/>
  <c r="J24" i="25"/>
  <c r="J27" i="4" s="1"/>
  <c r="D24" i="25"/>
  <c r="D27" i="4" s="1"/>
  <c r="E23" i="25"/>
  <c r="G23" i="25" s="1"/>
  <c r="H23" i="25" s="1"/>
  <c r="I23" i="25" s="1"/>
  <c r="E22" i="25"/>
  <c r="G22" i="25" s="1"/>
  <c r="E21" i="25"/>
  <c r="G21" i="25" s="1"/>
  <c r="H21" i="25" s="1"/>
  <c r="I21" i="25" s="1"/>
  <c r="K21" i="25" s="1"/>
  <c r="M21" i="25" s="1"/>
  <c r="I20" i="25"/>
  <c r="E20" i="25"/>
  <c r="G20" i="25" s="1"/>
  <c r="H20" i="25" s="1"/>
  <c r="E19" i="25"/>
  <c r="G19" i="25" s="1"/>
  <c r="H19" i="25" s="1"/>
  <c r="E18" i="25"/>
  <c r="G18" i="25" s="1"/>
  <c r="H18" i="25" s="1"/>
  <c r="I18" i="25" s="1"/>
  <c r="E17" i="25"/>
  <c r="G17" i="25" s="1"/>
  <c r="E16" i="25"/>
  <c r="G16" i="25" s="1"/>
  <c r="E15" i="25"/>
  <c r="G15" i="25" s="1"/>
  <c r="H15" i="25" s="1"/>
  <c r="I15" i="25" s="1"/>
  <c r="K15" i="25" s="1"/>
  <c r="M15" i="25" s="1"/>
  <c r="E14" i="25"/>
  <c r="G14" i="25" s="1"/>
  <c r="H14" i="25" s="1"/>
  <c r="I14" i="25" s="1"/>
  <c r="K14" i="25" s="1"/>
  <c r="M14" i="25" s="1"/>
  <c r="E13" i="25"/>
  <c r="G13" i="25" s="1"/>
  <c r="E12" i="25"/>
  <c r="G12" i="25" s="1"/>
  <c r="H12" i="25" s="1"/>
  <c r="I12" i="25" s="1"/>
  <c r="E11" i="25"/>
  <c r="G11" i="25" s="1"/>
  <c r="H11" i="25" s="1"/>
  <c r="I11" i="25" s="1"/>
  <c r="E10" i="25"/>
  <c r="G10" i="25" s="1"/>
  <c r="H10" i="25" s="1"/>
  <c r="E9" i="25"/>
  <c r="G9" i="25" s="1"/>
  <c r="H9" i="25" s="1"/>
  <c r="E8" i="25"/>
  <c r="G8" i="25" s="1"/>
  <c r="H8" i="25" s="1"/>
  <c r="I8" i="25" s="1"/>
  <c r="K8" i="25" s="1"/>
  <c r="M8" i="25" s="1"/>
  <c r="E7" i="25"/>
  <c r="G7" i="25" s="1"/>
  <c r="H7" i="25" s="1"/>
  <c r="E6" i="25"/>
  <c r="G6" i="25" s="1"/>
  <c r="E5" i="25"/>
  <c r="G5" i="25" s="1"/>
  <c r="H5" i="25" s="1"/>
  <c r="I5" i="25" s="1"/>
  <c r="E4" i="25"/>
  <c r="L24" i="24"/>
  <c r="L26" i="4" s="1"/>
  <c r="J24" i="24"/>
  <c r="J26" i="4" s="1"/>
  <c r="D24" i="24"/>
  <c r="D26" i="4" s="1"/>
  <c r="E23" i="24"/>
  <c r="G23" i="24" s="1"/>
  <c r="H23" i="24" s="1"/>
  <c r="I23" i="24" s="1"/>
  <c r="E22" i="24"/>
  <c r="G22" i="24" s="1"/>
  <c r="H22" i="24" s="1"/>
  <c r="I22" i="24" s="1"/>
  <c r="K22" i="24" s="1"/>
  <c r="M22" i="24" s="1"/>
  <c r="E21" i="24"/>
  <c r="G21" i="24" s="1"/>
  <c r="H21" i="24" s="1"/>
  <c r="E20" i="24"/>
  <c r="G20" i="24" s="1"/>
  <c r="H20" i="24" s="1"/>
  <c r="I20" i="24" s="1"/>
  <c r="E19" i="24"/>
  <c r="G19" i="24" s="1"/>
  <c r="H19" i="24" s="1"/>
  <c r="E18" i="24"/>
  <c r="G18" i="24" s="1"/>
  <c r="H18" i="24" s="1"/>
  <c r="I18" i="24" s="1"/>
  <c r="K18" i="24" s="1"/>
  <c r="M18" i="24" s="1"/>
  <c r="E17" i="24"/>
  <c r="G17" i="24" s="1"/>
  <c r="H17" i="24" s="1"/>
  <c r="I17" i="24" s="1"/>
  <c r="E16" i="24"/>
  <c r="G16" i="24" s="1"/>
  <c r="H16" i="24" s="1"/>
  <c r="I16" i="24" s="1"/>
  <c r="K16" i="24" s="1"/>
  <c r="M16" i="24" s="1"/>
  <c r="E15" i="24"/>
  <c r="G15" i="24" s="1"/>
  <c r="H15" i="24" s="1"/>
  <c r="E14" i="24"/>
  <c r="G14" i="24" s="1"/>
  <c r="H14" i="24" s="1"/>
  <c r="I14" i="24" s="1"/>
  <c r="E13" i="24"/>
  <c r="G13" i="24" s="1"/>
  <c r="H13" i="24" s="1"/>
  <c r="E12" i="24"/>
  <c r="G12" i="24" s="1"/>
  <c r="H12" i="24" s="1"/>
  <c r="I12" i="24" s="1"/>
  <c r="K12" i="24" s="1"/>
  <c r="M12" i="24" s="1"/>
  <c r="E11" i="24"/>
  <c r="G11" i="24" s="1"/>
  <c r="H11" i="24" s="1"/>
  <c r="I11" i="24" s="1"/>
  <c r="E10" i="24"/>
  <c r="G10" i="24" s="1"/>
  <c r="H10" i="24" s="1"/>
  <c r="E9" i="24"/>
  <c r="G9" i="24" s="1"/>
  <c r="H9" i="24" s="1"/>
  <c r="E8" i="24"/>
  <c r="G8" i="24" s="1"/>
  <c r="H8" i="24" s="1"/>
  <c r="I8" i="24" s="1"/>
  <c r="E7" i="24"/>
  <c r="G7" i="24" s="1"/>
  <c r="H7" i="24" s="1"/>
  <c r="E6" i="24"/>
  <c r="G6" i="24" s="1"/>
  <c r="H6" i="24" s="1"/>
  <c r="I6" i="24" s="1"/>
  <c r="K6" i="24" s="1"/>
  <c r="M6" i="24" s="1"/>
  <c r="E5" i="24"/>
  <c r="G5" i="24" s="1"/>
  <c r="H5" i="24" s="1"/>
  <c r="I5" i="24" s="1"/>
  <c r="E4" i="24"/>
  <c r="L24" i="23"/>
  <c r="J24" i="23"/>
  <c r="J25" i="4" s="1"/>
  <c r="D24" i="23"/>
  <c r="D25" i="4" s="1"/>
  <c r="E23" i="23"/>
  <c r="G23" i="23" s="1"/>
  <c r="H23" i="23" s="1"/>
  <c r="E22" i="23"/>
  <c r="G22" i="23" s="1"/>
  <c r="H22" i="23" s="1"/>
  <c r="I22" i="23" s="1"/>
  <c r="E21" i="23"/>
  <c r="G21" i="23" s="1"/>
  <c r="H21" i="23" s="1"/>
  <c r="I21" i="23" s="1"/>
  <c r="K21" i="23" s="1"/>
  <c r="M21" i="23" s="1"/>
  <c r="E20" i="23"/>
  <c r="G20" i="23" s="1"/>
  <c r="H20" i="23" s="1"/>
  <c r="E19" i="23"/>
  <c r="G19" i="23" s="1"/>
  <c r="H19" i="23" s="1"/>
  <c r="I19" i="23" s="1"/>
  <c r="K19" i="23" s="1"/>
  <c r="M19" i="23" s="1"/>
  <c r="E18" i="23"/>
  <c r="G18" i="23" s="1"/>
  <c r="H18" i="23" s="1"/>
  <c r="I18" i="23" s="1"/>
  <c r="E17" i="23"/>
  <c r="G17" i="23" s="1"/>
  <c r="H17" i="23" s="1"/>
  <c r="I17" i="23" s="1"/>
  <c r="K17" i="23" s="1"/>
  <c r="M17" i="23" s="1"/>
  <c r="E16" i="23"/>
  <c r="G16" i="23" s="1"/>
  <c r="H16" i="23" s="1"/>
  <c r="E15" i="23"/>
  <c r="G15" i="23" s="1"/>
  <c r="H15" i="23" s="1"/>
  <c r="I15" i="23" s="1"/>
  <c r="E14" i="23"/>
  <c r="G14" i="23" s="1"/>
  <c r="H14" i="23" s="1"/>
  <c r="E13" i="23"/>
  <c r="G13" i="23" s="1"/>
  <c r="H13" i="23" s="1"/>
  <c r="I13" i="23" s="1"/>
  <c r="E12" i="23"/>
  <c r="G12" i="23" s="1"/>
  <c r="H12" i="23" s="1"/>
  <c r="I12" i="23" s="1"/>
  <c r="E11" i="23"/>
  <c r="G11" i="23" s="1"/>
  <c r="H11" i="23" s="1"/>
  <c r="E10" i="23"/>
  <c r="G10" i="23" s="1"/>
  <c r="H10" i="23" s="1"/>
  <c r="I10" i="23" s="1"/>
  <c r="E9" i="23"/>
  <c r="G9" i="23" s="1"/>
  <c r="H9" i="23" s="1"/>
  <c r="I9" i="23" s="1"/>
  <c r="E8" i="23"/>
  <c r="G8" i="23" s="1"/>
  <c r="H8" i="23" s="1"/>
  <c r="E7" i="23"/>
  <c r="G7" i="23" s="1"/>
  <c r="H7" i="23" s="1"/>
  <c r="I7" i="23" s="1"/>
  <c r="K7" i="23" s="1"/>
  <c r="M7" i="23" s="1"/>
  <c r="E6" i="23"/>
  <c r="G6" i="23" s="1"/>
  <c r="H6" i="23" s="1"/>
  <c r="I6" i="23" s="1"/>
  <c r="E5" i="23"/>
  <c r="G5" i="23" s="1"/>
  <c r="H5" i="23" s="1"/>
  <c r="I5" i="23" s="1"/>
  <c r="K5" i="23" s="1"/>
  <c r="M5" i="23" s="1"/>
  <c r="E4" i="23"/>
  <c r="L24" i="22"/>
  <c r="J24" i="22"/>
  <c r="J24" i="4" s="1"/>
  <c r="D24" i="22"/>
  <c r="D24" i="4" s="1"/>
  <c r="E23" i="22"/>
  <c r="G23" i="22" s="1"/>
  <c r="H23" i="22" s="1"/>
  <c r="I23" i="22" s="1"/>
  <c r="K23" i="22" s="1"/>
  <c r="M23" i="22" s="1"/>
  <c r="E22" i="22"/>
  <c r="G22" i="22" s="1"/>
  <c r="H22" i="22" s="1"/>
  <c r="I22" i="22" s="1"/>
  <c r="K22" i="22" s="1"/>
  <c r="M22" i="22" s="1"/>
  <c r="E21" i="22"/>
  <c r="G21" i="22" s="1"/>
  <c r="H21" i="22" s="1"/>
  <c r="I21" i="22" s="1"/>
  <c r="E20" i="22"/>
  <c r="G20" i="22" s="1"/>
  <c r="H20" i="22" s="1"/>
  <c r="I20" i="22" s="1"/>
  <c r="K20" i="22" s="1"/>
  <c r="M20" i="22" s="1"/>
  <c r="E19" i="22"/>
  <c r="G19" i="22" s="1"/>
  <c r="H19" i="22" s="1"/>
  <c r="I19" i="22" s="1"/>
  <c r="K19" i="22" s="1"/>
  <c r="M19" i="22" s="1"/>
  <c r="E18" i="22"/>
  <c r="G18" i="22" s="1"/>
  <c r="H18" i="22" s="1"/>
  <c r="I18" i="22" s="1"/>
  <c r="E17" i="22"/>
  <c r="G17" i="22" s="1"/>
  <c r="H17" i="22" s="1"/>
  <c r="I17" i="22" s="1"/>
  <c r="K17" i="22" s="1"/>
  <c r="M17" i="22" s="1"/>
  <c r="E16" i="22"/>
  <c r="G16" i="22" s="1"/>
  <c r="H16" i="22" s="1"/>
  <c r="E15" i="22"/>
  <c r="G15" i="22" s="1"/>
  <c r="H15" i="22" s="1"/>
  <c r="I15" i="22" s="1"/>
  <c r="E14" i="22"/>
  <c r="G14" i="22" s="1"/>
  <c r="H14" i="22" s="1"/>
  <c r="E13" i="22"/>
  <c r="G13" i="22" s="1"/>
  <c r="H13" i="22" s="1"/>
  <c r="I13" i="22" s="1"/>
  <c r="K13" i="22" s="1"/>
  <c r="M13" i="22" s="1"/>
  <c r="E12" i="22"/>
  <c r="G12" i="22" s="1"/>
  <c r="H12" i="22" s="1"/>
  <c r="I12" i="22" s="1"/>
  <c r="E11" i="22"/>
  <c r="G11" i="22" s="1"/>
  <c r="H11" i="22" s="1"/>
  <c r="I11" i="22" s="1"/>
  <c r="E10" i="22"/>
  <c r="G10" i="22" s="1"/>
  <c r="H10" i="22" s="1"/>
  <c r="I10" i="22" s="1"/>
  <c r="E9" i="22"/>
  <c r="G9" i="22" s="1"/>
  <c r="H9" i="22" s="1"/>
  <c r="I9" i="22" s="1"/>
  <c r="K9" i="22" s="1"/>
  <c r="M9" i="22" s="1"/>
  <c r="E8" i="22"/>
  <c r="G8" i="22" s="1"/>
  <c r="H8" i="22" s="1"/>
  <c r="I8" i="22" s="1"/>
  <c r="E7" i="22"/>
  <c r="G7" i="22" s="1"/>
  <c r="H7" i="22" s="1"/>
  <c r="I7" i="22" s="1"/>
  <c r="E6" i="22"/>
  <c r="G6" i="22" s="1"/>
  <c r="H6" i="22" s="1"/>
  <c r="E5" i="22"/>
  <c r="G5" i="22" s="1"/>
  <c r="H5" i="22" s="1"/>
  <c r="I5" i="22" s="1"/>
  <c r="E4" i="22"/>
  <c r="G4" i="22" s="1"/>
  <c r="H4" i="22" s="1"/>
  <c r="I4" i="22" s="1"/>
  <c r="L24" i="21"/>
  <c r="L23" i="4" s="1"/>
  <c r="J24" i="21"/>
  <c r="J23" i="4" s="1"/>
  <c r="D24" i="21"/>
  <c r="D23" i="4" s="1"/>
  <c r="E23" i="21"/>
  <c r="G23" i="21" s="1"/>
  <c r="H23" i="21" s="1"/>
  <c r="I23" i="21" s="1"/>
  <c r="E22" i="21"/>
  <c r="G22" i="21" s="1"/>
  <c r="H22" i="21" s="1"/>
  <c r="I22" i="21" s="1"/>
  <c r="E21" i="21"/>
  <c r="G21" i="21" s="1"/>
  <c r="H21" i="21" s="1"/>
  <c r="E20" i="21"/>
  <c r="G20" i="21" s="1"/>
  <c r="H20" i="21" s="1"/>
  <c r="I20" i="21" s="1"/>
  <c r="E19" i="21"/>
  <c r="G19" i="21" s="1"/>
  <c r="H19" i="21" s="1"/>
  <c r="E18" i="21"/>
  <c r="G18" i="21" s="1"/>
  <c r="H18" i="21" s="1"/>
  <c r="I18" i="21" s="1"/>
  <c r="K18" i="21" s="1"/>
  <c r="M18" i="21" s="1"/>
  <c r="E17" i="21"/>
  <c r="G17" i="21" s="1"/>
  <c r="H17" i="21" s="1"/>
  <c r="I17" i="21" s="1"/>
  <c r="E16" i="21"/>
  <c r="G16" i="21" s="1"/>
  <c r="H16" i="21" s="1"/>
  <c r="I16" i="21" s="1"/>
  <c r="E15" i="21"/>
  <c r="G15" i="21" s="1"/>
  <c r="H15" i="21" s="1"/>
  <c r="E14" i="21"/>
  <c r="G14" i="21" s="1"/>
  <c r="H14" i="21" s="1"/>
  <c r="I14" i="21" s="1"/>
  <c r="E13" i="21"/>
  <c r="G13" i="21" s="1"/>
  <c r="H13" i="21" s="1"/>
  <c r="I13" i="21" s="1"/>
  <c r="E12" i="21"/>
  <c r="G12" i="21" s="1"/>
  <c r="H12" i="21" s="1"/>
  <c r="I12" i="21" s="1"/>
  <c r="K12" i="21" s="1"/>
  <c r="M12" i="21" s="1"/>
  <c r="E11" i="21"/>
  <c r="G11" i="21" s="1"/>
  <c r="H11" i="21" s="1"/>
  <c r="I11" i="21" s="1"/>
  <c r="E10" i="21"/>
  <c r="G10" i="21" s="1"/>
  <c r="H10" i="21" s="1"/>
  <c r="I10" i="21" s="1"/>
  <c r="E9" i="21"/>
  <c r="G9" i="21" s="1"/>
  <c r="H9" i="21" s="1"/>
  <c r="E8" i="21"/>
  <c r="G8" i="21" s="1"/>
  <c r="H8" i="21" s="1"/>
  <c r="I8" i="21" s="1"/>
  <c r="K8" i="21" s="1"/>
  <c r="M8" i="21" s="1"/>
  <c r="E7" i="21"/>
  <c r="G7" i="21" s="1"/>
  <c r="H7" i="21" s="1"/>
  <c r="I7" i="21" s="1"/>
  <c r="E6" i="21"/>
  <c r="G6" i="21" s="1"/>
  <c r="H6" i="21" s="1"/>
  <c r="I6" i="21" s="1"/>
  <c r="K6" i="21" s="1"/>
  <c r="M6" i="21" s="1"/>
  <c r="E5" i="21"/>
  <c r="G5" i="21" s="1"/>
  <c r="H5" i="21" s="1"/>
  <c r="E4" i="21"/>
  <c r="G4" i="21" s="1"/>
  <c r="H4" i="21" s="1"/>
  <c r="I4" i="21" s="1"/>
  <c r="L24" i="20"/>
  <c r="J24" i="20"/>
  <c r="J22" i="4" s="1"/>
  <c r="D24" i="20"/>
  <c r="D22" i="4" s="1"/>
  <c r="E23" i="20"/>
  <c r="G23" i="20" s="1"/>
  <c r="H23" i="20" s="1"/>
  <c r="I23" i="20" s="1"/>
  <c r="E22" i="20"/>
  <c r="G22" i="20" s="1"/>
  <c r="H22" i="20" s="1"/>
  <c r="I22" i="20" s="1"/>
  <c r="E21" i="20"/>
  <c r="G21" i="20" s="1"/>
  <c r="H21" i="20" s="1"/>
  <c r="E20" i="20"/>
  <c r="G20" i="20" s="1"/>
  <c r="H20" i="20" s="1"/>
  <c r="E19" i="20"/>
  <c r="G19" i="20" s="1"/>
  <c r="H19" i="20" s="1"/>
  <c r="E18" i="20"/>
  <c r="G18" i="20" s="1"/>
  <c r="H18" i="20" s="1"/>
  <c r="I18" i="20" s="1"/>
  <c r="K18" i="20" s="1"/>
  <c r="M18" i="20" s="1"/>
  <c r="E17" i="20"/>
  <c r="G17" i="20" s="1"/>
  <c r="H17" i="20" s="1"/>
  <c r="E16" i="20"/>
  <c r="G16" i="20" s="1"/>
  <c r="H16" i="20" s="1"/>
  <c r="I16" i="20" s="1"/>
  <c r="E15" i="20"/>
  <c r="G15" i="20" s="1"/>
  <c r="H15" i="20" s="1"/>
  <c r="I15" i="20" s="1"/>
  <c r="E14" i="20"/>
  <c r="G14" i="20" s="1"/>
  <c r="H14" i="20" s="1"/>
  <c r="I14" i="20" s="1"/>
  <c r="K14" i="20" s="1"/>
  <c r="M14" i="20" s="1"/>
  <c r="E13" i="20"/>
  <c r="G13" i="20" s="1"/>
  <c r="H13" i="20" s="1"/>
  <c r="I13" i="20" s="1"/>
  <c r="E12" i="20"/>
  <c r="G12" i="20" s="1"/>
  <c r="H12" i="20" s="1"/>
  <c r="I12" i="20" s="1"/>
  <c r="K12" i="20" s="1"/>
  <c r="M12" i="20" s="1"/>
  <c r="E11" i="20"/>
  <c r="G11" i="20" s="1"/>
  <c r="H11" i="20" s="1"/>
  <c r="E10" i="20"/>
  <c r="G10" i="20" s="1"/>
  <c r="H10" i="20" s="1"/>
  <c r="I10" i="20" s="1"/>
  <c r="E9" i="20"/>
  <c r="G9" i="20" s="1"/>
  <c r="H9" i="20" s="1"/>
  <c r="E8" i="20"/>
  <c r="G8" i="20" s="1"/>
  <c r="H8" i="20" s="1"/>
  <c r="I8" i="20" s="1"/>
  <c r="E7" i="20"/>
  <c r="G7" i="20" s="1"/>
  <c r="H7" i="20" s="1"/>
  <c r="I7" i="20" s="1"/>
  <c r="E6" i="20"/>
  <c r="G6" i="20" s="1"/>
  <c r="H6" i="20" s="1"/>
  <c r="I6" i="20" s="1"/>
  <c r="E5" i="20"/>
  <c r="G5" i="20" s="1"/>
  <c r="H5" i="20" s="1"/>
  <c r="E4" i="20"/>
  <c r="G4" i="20" s="1"/>
  <c r="H4" i="20" s="1"/>
  <c r="I4" i="20" s="1"/>
  <c r="L24" i="19"/>
  <c r="J24" i="19"/>
  <c r="J21" i="4" s="1"/>
  <c r="D24" i="19"/>
  <c r="D21" i="4" s="1"/>
  <c r="E23" i="19"/>
  <c r="G23" i="19" s="1"/>
  <c r="H23" i="19" s="1"/>
  <c r="I23" i="19" s="1"/>
  <c r="K23" i="19" s="1"/>
  <c r="M23" i="19" s="1"/>
  <c r="E22" i="19"/>
  <c r="G22" i="19" s="1"/>
  <c r="H22" i="19" s="1"/>
  <c r="I22" i="19" s="1"/>
  <c r="E21" i="19"/>
  <c r="G21" i="19" s="1"/>
  <c r="H21" i="19" s="1"/>
  <c r="I21" i="19" s="1"/>
  <c r="E20" i="19"/>
  <c r="G20" i="19" s="1"/>
  <c r="H20" i="19" s="1"/>
  <c r="I20" i="19" s="1"/>
  <c r="E19" i="19"/>
  <c r="G19" i="19" s="1"/>
  <c r="H19" i="19" s="1"/>
  <c r="I19" i="19" s="1"/>
  <c r="E18" i="19"/>
  <c r="G18" i="19" s="1"/>
  <c r="H18" i="19" s="1"/>
  <c r="E17" i="19"/>
  <c r="G17" i="19" s="1"/>
  <c r="H17" i="19" s="1"/>
  <c r="I17" i="19" s="1"/>
  <c r="K17" i="19" s="1"/>
  <c r="M17" i="19" s="1"/>
  <c r="E16" i="19"/>
  <c r="G16" i="19" s="1"/>
  <c r="H16" i="19" s="1"/>
  <c r="I16" i="19" s="1"/>
  <c r="E15" i="19"/>
  <c r="G15" i="19" s="1"/>
  <c r="H15" i="19" s="1"/>
  <c r="I15" i="19" s="1"/>
  <c r="E14" i="19"/>
  <c r="G14" i="19" s="1"/>
  <c r="H14" i="19" s="1"/>
  <c r="E13" i="19"/>
  <c r="G13" i="19" s="1"/>
  <c r="H13" i="19" s="1"/>
  <c r="I13" i="19" s="1"/>
  <c r="K13" i="19" s="1"/>
  <c r="M13" i="19" s="1"/>
  <c r="E12" i="19"/>
  <c r="G12" i="19" s="1"/>
  <c r="H12" i="19" s="1"/>
  <c r="E11" i="19"/>
  <c r="G11" i="19" s="1"/>
  <c r="H11" i="19" s="1"/>
  <c r="I11" i="19" s="1"/>
  <c r="K11" i="19" s="1"/>
  <c r="M11" i="19" s="1"/>
  <c r="E10" i="19"/>
  <c r="G10" i="19" s="1"/>
  <c r="H10" i="19" s="1"/>
  <c r="I10" i="19" s="1"/>
  <c r="E9" i="19"/>
  <c r="G9" i="19" s="1"/>
  <c r="H9" i="19" s="1"/>
  <c r="I9" i="19" s="1"/>
  <c r="K9" i="19" s="1"/>
  <c r="M9" i="19" s="1"/>
  <c r="E8" i="19"/>
  <c r="G8" i="19" s="1"/>
  <c r="H8" i="19" s="1"/>
  <c r="E7" i="19"/>
  <c r="G7" i="19" s="1"/>
  <c r="H7" i="19" s="1"/>
  <c r="I7" i="19" s="1"/>
  <c r="K7" i="19" s="1"/>
  <c r="M7" i="19" s="1"/>
  <c r="E6" i="19"/>
  <c r="G6" i="19" s="1"/>
  <c r="H6" i="19" s="1"/>
  <c r="I6" i="19" s="1"/>
  <c r="E5" i="19"/>
  <c r="G5" i="19" s="1"/>
  <c r="H5" i="19" s="1"/>
  <c r="E4" i="19"/>
  <c r="L24" i="18"/>
  <c r="J24" i="18"/>
  <c r="J20" i="4" s="1"/>
  <c r="D24" i="18"/>
  <c r="D20" i="4" s="1"/>
  <c r="E23" i="18"/>
  <c r="G23" i="18" s="1"/>
  <c r="H23" i="18" s="1"/>
  <c r="I23" i="18" s="1"/>
  <c r="E22" i="18"/>
  <c r="G22" i="18" s="1"/>
  <c r="H22" i="18" s="1"/>
  <c r="E21" i="18"/>
  <c r="G21" i="18" s="1"/>
  <c r="H21" i="18" s="1"/>
  <c r="I21" i="18" s="1"/>
  <c r="K21" i="18" s="1"/>
  <c r="M21" i="18" s="1"/>
  <c r="E20" i="18"/>
  <c r="G20" i="18" s="1"/>
  <c r="H20" i="18" s="1"/>
  <c r="I20" i="18" s="1"/>
  <c r="E19" i="18"/>
  <c r="G19" i="18" s="1"/>
  <c r="H19" i="18" s="1"/>
  <c r="I19" i="18" s="1"/>
  <c r="K19" i="18" s="1"/>
  <c r="M19" i="18" s="1"/>
  <c r="E18" i="18"/>
  <c r="G18" i="18" s="1"/>
  <c r="H18" i="18" s="1"/>
  <c r="I18" i="18" s="1"/>
  <c r="E17" i="18"/>
  <c r="G17" i="18" s="1"/>
  <c r="H17" i="18" s="1"/>
  <c r="I17" i="18" s="1"/>
  <c r="E16" i="18"/>
  <c r="G16" i="18" s="1"/>
  <c r="H16" i="18" s="1"/>
  <c r="E15" i="18"/>
  <c r="G15" i="18" s="1"/>
  <c r="H15" i="18" s="1"/>
  <c r="E14" i="18"/>
  <c r="G14" i="18" s="1"/>
  <c r="H14" i="18" s="1"/>
  <c r="I14" i="18" s="1"/>
  <c r="E13" i="18"/>
  <c r="G13" i="18" s="1"/>
  <c r="H13" i="18" s="1"/>
  <c r="E12" i="18"/>
  <c r="G12" i="18" s="1"/>
  <c r="H12" i="18" s="1"/>
  <c r="E11" i="18"/>
  <c r="G11" i="18" s="1"/>
  <c r="H11" i="18" s="1"/>
  <c r="I11" i="18" s="1"/>
  <c r="K11" i="18" s="1"/>
  <c r="M11" i="18" s="1"/>
  <c r="E10" i="18"/>
  <c r="G10" i="18" s="1"/>
  <c r="H10" i="18" s="1"/>
  <c r="I10" i="18" s="1"/>
  <c r="K10" i="18" s="1"/>
  <c r="M10" i="18" s="1"/>
  <c r="E9" i="18"/>
  <c r="G9" i="18" s="1"/>
  <c r="H9" i="18" s="1"/>
  <c r="E8" i="18"/>
  <c r="G8" i="18" s="1"/>
  <c r="H8" i="18" s="1"/>
  <c r="I8" i="18" s="1"/>
  <c r="E7" i="18"/>
  <c r="G7" i="18" s="1"/>
  <c r="H7" i="18" s="1"/>
  <c r="I7" i="18" s="1"/>
  <c r="K7" i="18" s="1"/>
  <c r="M7" i="18" s="1"/>
  <c r="E6" i="18"/>
  <c r="G6" i="18" s="1"/>
  <c r="H6" i="18" s="1"/>
  <c r="I6" i="18" s="1"/>
  <c r="E5" i="18"/>
  <c r="G5" i="18" s="1"/>
  <c r="H5" i="18" s="1"/>
  <c r="I5" i="18" s="1"/>
  <c r="E4" i="18"/>
  <c r="L24" i="17"/>
  <c r="L19" i="4" s="1"/>
  <c r="J24" i="17"/>
  <c r="J19" i="4" s="1"/>
  <c r="D24" i="17"/>
  <c r="D19" i="4" s="1"/>
  <c r="E23" i="17"/>
  <c r="G23" i="17" s="1"/>
  <c r="H23" i="17" s="1"/>
  <c r="E22" i="17"/>
  <c r="G22" i="17" s="1"/>
  <c r="H22" i="17" s="1"/>
  <c r="E21" i="17"/>
  <c r="G21" i="17" s="1"/>
  <c r="H21" i="17" s="1"/>
  <c r="I21" i="17" s="1"/>
  <c r="E20" i="17"/>
  <c r="G20" i="17" s="1"/>
  <c r="H20" i="17" s="1"/>
  <c r="I20" i="17" s="1"/>
  <c r="K20" i="17" s="1"/>
  <c r="M20" i="17" s="1"/>
  <c r="E19" i="17"/>
  <c r="G19" i="17" s="1"/>
  <c r="H19" i="17" s="1"/>
  <c r="E18" i="17"/>
  <c r="G18" i="17" s="1"/>
  <c r="H18" i="17" s="1"/>
  <c r="I18" i="17" s="1"/>
  <c r="E17" i="17"/>
  <c r="G17" i="17" s="1"/>
  <c r="H17" i="17" s="1"/>
  <c r="E16" i="17"/>
  <c r="G16" i="17" s="1"/>
  <c r="H16" i="17" s="1"/>
  <c r="I16" i="17" s="1"/>
  <c r="E15" i="17"/>
  <c r="G15" i="17" s="1"/>
  <c r="H15" i="17" s="1"/>
  <c r="I15" i="17" s="1"/>
  <c r="E14" i="17"/>
  <c r="G14" i="17" s="1"/>
  <c r="H14" i="17" s="1"/>
  <c r="I14" i="17" s="1"/>
  <c r="K14" i="17" s="1"/>
  <c r="M14" i="17" s="1"/>
  <c r="E13" i="17"/>
  <c r="G13" i="17" s="1"/>
  <c r="H13" i="17" s="1"/>
  <c r="E12" i="17"/>
  <c r="G12" i="17" s="1"/>
  <c r="H12" i="17" s="1"/>
  <c r="I12" i="17" s="1"/>
  <c r="E11" i="17"/>
  <c r="G11" i="17" s="1"/>
  <c r="H11" i="17" s="1"/>
  <c r="I11" i="17" s="1"/>
  <c r="E10" i="17"/>
  <c r="G10" i="17" s="1"/>
  <c r="H10" i="17" s="1"/>
  <c r="I10" i="17" s="1"/>
  <c r="K10" i="17" s="1"/>
  <c r="M10" i="17" s="1"/>
  <c r="E9" i="17"/>
  <c r="G9" i="17" s="1"/>
  <c r="H9" i="17" s="1"/>
  <c r="E8" i="17"/>
  <c r="G8" i="17" s="1"/>
  <c r="H8" i="17" s="1"/>
  <c r="I8" i="17" s="1"/>
  <c r="K8" i="17" s="1"/>
  <c r="M8" i="17" s="1"/>
  <c r="E7" i="17"/>
  <c r="G7" i="17" s="1"/>
  <c r="H7" i="17" s="1"/>
  <c r="I7" i="17" s="1"/>
  <c r="E6" i="17"/>
  <c r="G6" i="17" s="1"/>
  <c r="H6" i="17" s="1"/>
  <c r="I6" i="17" s="1"/>
  <c r="K6" i="17" s="1"/>
  <c r="M6" i="17" s="1"/>
  <c r="E5" i="17"/>
  <c r="G5" i="17" s="1"/>
  <c r="H5" i="17" s="1"/>
  <c r="E4" i="17"/>
  <c r="G4" i="17" s="1"/>
  <c r="H4" i="17" s="1"/>
  <c r="I4" i="17" s="1"/>
  <c r="K4" i="17" s="1"/>
  <c r="M4" i="17" s="1"/>
  <c r="L24" i="16"/>
  <c r="L18" i="4" s="1"/>
  <c r="J24" i="16"/>
  <c r="J18" i="4" s="1"/>
  <c r="D24" i="16"/>
  <c r="D18" i="4" s="1"/>
  <c r="E23" i="16"/>
  <c r="G23" i="16" s="1"/>
  <c r="H23" i="16" s="1"/>
  <c r="E22" i="16"/>
  <c r="G22" i="16" s="1"/>
  <c r="H22" i="16" s="1"/>
  <c r="I22" i="16" s="1"/>
  <c r="K22" i="16" s="1"/>
  <c r="M22" i="16" s="1"/>
  <c r="E21" i="16"/>
  <c r="G21" i="16" s="1"/>
  <c r="H21" i="16" s="1"/>
  <c r="I21" i="16" s="1"/>
  <c r="E20" i="16"/>
  <c r="G20" i="16" s="1"/>
  <c r="H20" i="16" s="1"/>
  <c r="I20" i="16" s="1"/>
  <c r="E19" i="16"/>
  <c r="G19" i="16" s="1"/>
  <c r="H19" i="16" s="1"/>
  <c r="E18" i="16"/>
  <c r="G18" i="16" s="1"/>
  <c r="H18" i="16" s="1"/>
  <c r="I18" i="16" s="1"/>
  <c r="K18" i="16" s="1"/>
  <c r="M18" i="16" s="1"/>
  <c r="E17" i="16"/>
  <c r="G17" i="16" s="1"/>
  <c r="H17" i="16" s="1"/>
  <c r="I17" i="16" s="1"/>
  <c r="E16" i="16"/>
  <c r="G16" i="16" s="1"/>
  <c r="H16" i="16" s="1"/>
  <c r="I16" i="16" s="1"/>
  <c r="E15" i="16"/>
  <c r="G15" i="16" s="1"/>
  <c r="H15" i="16" s="1"/>
  <c r="E14" i="16"/>
  <c r="G14" i="16" s="1"/>
  <c r="H14" i="16" s="1"/>
  <c r="I14" i="16" s="1"/>
  <c r="E13" i="16"/>
  <c r="G13" i="16" s="1"/>
  <c r="H13" i="16" s="1"/>
  <c r="E12" i="16"/>
  <c r="G12" i="16" s="1"/>
  <c r="H12" i="16" s="1"/>
  <c r="I12" i="16" s="1"/>
  <c r="K12" i="16" s="1"/>
  <c r="M12" i="16" s="1"/>
  <c r="E11" i="16"/>
  <c r="G11" i="16" s="1"/>
  <c r="H11" i="16" s="1"/>
  <c r="E10" i="16"/>
  <c r="G10" i="16" s="1"/>
  <c r="H10" i="16" s="1"/>
  <c r="I10" i="16" s="1"/>
  <c r="E9" i="16"/>
  <c r="G9" i="16" s="1"/>
  <c r="H9" i="16" s="1"/>
  <c r="I9" i="16" s="1"/>
  <c r="E8" i="16"/>
  <c r="G8" i="16" s="1"/>
  <c r="H8" i="16" s="1"/>
  <c r="I8" i="16" s="1"/>
  <c r="K8" i="16" s="1"/>
  <c r="M8" i="16" s="1"/>
  <c r="E7" i="16"/>
  <c r="G7" i="16" s="1"/>
  <c r="H7" i="16" s="1"/>
  <c r="E6" i="16"/>
  <c r="G6" i="16" s="1"/>
  <c r="H6" i="16" s="1"/>
  <c r="I6" i="16" s="1"/>
  <c r="E5" i="16"/>
  <c r="G5" i="16" s="1"/>
  <c r="H5" i="16" s="1"/>
  <c r="I5" i="16" s="1"/>
  <c r="E4" i="16"/>
  <c r="G4" i="16" s="1"/>
  <c r="H4" i="16" s="1"/>
  <c r="I4" i="16" s="1"/>
  <c r="L24" i="15"/>
  <c r="J24" i="15"/>
  <c r="J17" i="4" s="1"/>
  <c r="D24" i="15"/>
  <c r="D17" i="4" s="1"/>
  <c r="C34" i="4" s="1"/>
  <c r="E23" i="15"/>
  <c r="G23" i="15" s="1"/>
  <c r="H23" i="15" s="1"/>
  <c r="I23" i="15" s="1"/>
  <c r="K23" i="15" s="1"/>
  <c r="M23" i="15" s="1"/>
  <c r="E22" i="15"/>
  <c r="G22" i="15" s="1"/>
  <c r="H22" i="15" s="1"/>
  <c r="I22" i="15" s="1"/>
  <c r="E21" i="15"/>
  <c r="G21" i="15" s="1"/>
  <c r="H21" i="15" s="1"/>
  <c r="I21" i="15" s="1"/>
  <c r="K21" i="15" s="1"/>
  <c r="M21" i="15" s="1"/>
  <c r="E20" i="15"/>
  <c r="G20" i="15" s="1"/>
  <c r="H20" i="15" s="1"/>
  <c r="E19" i="15"/>
  <c r="G19" i="15" s="1"/>
  <c r="H19" i="15" s="1"/>
  <c r="I19" i="15" s="1"/>
  <c r="E18" i="15"/>
  <c r="G18" i="15" s="1"/>
  <c r="H18" i="15" s="1"/>
  <c r="E17" i="15"/>
  <c r="G17" i="15" s="1"/>
  <c r="H17" i="15" s="1"/>
  <c r="I17" i="15" s="1"/>
  <c r="E16" i="15"/>
  <c r="G16" i="15" s="1"/>
  <c r="H16" i="15" s="1"/>
  <c r="I16" i="15" s="1"/>
  <c r="E15" i="15"/>
  <c r="G15" i="15" s="1"/>
  <c r="H15" i="15" s="1"/>
  <c r="I15" i="15" s="1"/>
  <c r="K15" i="15" s="1"/>
  <c r="M15" i="15" s="1"/>
  <c r="E14" i="15"/>
  <c r="G14" i="15" s="1"/>
  <c r="H14" i="15" s="1"/>
  <c r="E13" i="15"/>
  <c r="G13" i="15" s="1"/>
  <c r="H13" i="15" s="1"/>
  <c r="I13" i="15" s="1"/>
  <c r="E12" i="15"/>
  <c r="G12" i="15" s="1"/>
  <c r="H12" i="15" s="1"/>
  <c r="E11" i="15"/>
  <c r="G11" i="15" s="1"/>
  <c r="H11" i="15" s="1"/>
  <c r="I11" i="15" s="1"/>
  <c r="K11" i="15" s="1"/>
  <c r="M11" i="15" s="1"/>
  <c r="E10" i="15"/>
  <c r="G10" i="15" s="1"/>
  <c r="H10" i="15" s="1"/>
  <c r="I10" i="15" s="1"/>
  <c r="E9" i="15"/>
  <c r="G9" i="15" s="1"/>
  <c r="H9" i="15" s="1"/>
  <c r="I9" i="15" s="1"/>
  <c r="E8" i="15"/>
  <c r="G8" i="15" s="1"/>
  <c r="H8" i="15" s="1"/>
  <c r="I8" i="15" s="1"/>
  <c r="E7" i="15"/>
  <c r="G7" i="15" s="1"/>
  <c r="H7" i="15" s="1"/>
  <c r="I7" i="15" s="1"/>
  <c r="K7" i="15" s="1"/>
  <c r="M7" i="15" s="1"/>
  <c r="G6" i="15"/>
  <c r="H6" i="15" s="1"/>
  <c r="G5" i="15"/>
  <c r="H5" i="15" s="1"/>
  <c r="I5" i="15" s="1"/>
  <c r="L24" i="14"/>
  <c r="J24" i="14"/>
  <c r="J16" i="4" s="1"/>
  <c r="D24" i="14"/>
  <c r="D16" i="4" s="1"/>
  <c r="C33" i="4" s="1"/>
  <c r="E23" i="14"/>
  <c r="G23" i="14" s="1"/>
  <c r="H23" i="14" s="1"/>
  <c r="I23" i="14" s="1"/>
  <c r="K23" i="14" s="1"/>
  <c r="M23" i="14" s="1"/>
  <c r="E22" i="14"/>
  <c r="G22" i="14" s="1"/>
  <c r="H22" i="14" s="1"/>
  <c r="E21" i="14"/>
  <c r="G21" i="14" s="1"/>
  <c r="H21" i="14" s="1"/>
  <c r="I21" i="14" s="1"/>
  <c r="K21" i="14" s="1"/>
  <c r="M21" i="14" s="1"/>
  <c r="E20" i="14"/>
  <c r="G20" i="14" s="1"/>
  <c r="H20" i="14" s="1"/>
  <c r="E19" i="14"/>
  <c r="G19" i="14" s="1"/>
  <c r="H19" i="14" s="1"/>
  <c r="I19" i="14" s="1"/>
  <c r="K19" i="14" s="1"/>
  <c r="M19" i="14" s="1"/>
  <c r="E18" i="14"/>
  <c r="G18" i="14" s="1"/>
  <c r="H18" i="14" s="1"/>
  <c r="I18" i="14" s="1"/>
  <c r="E17" i="14"/>
  <c r="G17" i="14" s="1"/>
  <c r="H17" i="14" s="1"/>
  <c r="E16" i="14"/>
  <c r="G16" i="14" s="1"/>
  <c r="H16" i="14" s="1"/>
  <c r="E15" i="14"/>
  <c r="G15" i="14" s="1"/>
  <c r="H15" i="14" s="1"/>
  <c r="I15" i="14" s="1"/>
  <c r="E14" i="14"/>
  <c r="G14" i="14" s="1"/>
  <c r="H14" i="14" s="1"/>
  <c r="I14" i="14" s="1"/>
  <c r="E13" i="14"/>
  <c r="G13" i="14" s="1"/>
  <c r="H13" i="14" s="1"/>
  <c r="I13" i="14" s="1"/>
  <c r="E12" i="14"/>
  <c r="G12" i="14" s="1"/>
  <c r="H12" i="14" s="1"/>
  <c r="E11" i="14"/>
  <c r="G11" i="14" s="1"/>
  <c r="H11" i="14" s="1"/>
  <c r="I11" i="14" s="1"/>
  <c r="E10" i="14"/>
  <c r="G10" i="14" s="1"/>
  <c r="H10" i="14" s="1"/>
  <c r="I10" i="14" s="1"/>
  <c r="K10" i="14" s="1"/>
  <c r="M10" i="14" s="1"/>
  <c r="E9" i="14"/>
  <c r="G9" i="14" s="1"/>
  <c r="H9" i="14" s="1"/>
  <c r="I9" i="14" s="1"/>
  <c r="K9" i="14" s="1"/>
  <c r="M9" i="14" s="1"/>
  <c r="E8" i="14"/>
  <c r="G8" i="14" s="1"/>
  <c r="H8" i="14" s="1"/>
  <c r="I8" i="14" s="1"/>
  <c r="E7" i="14"/>
  <c r="G7" i="14" s="1"/>
  <c r="H7" i="14" s="1"/>
  <c r="I7" i="14" s="1"/>
  <c r="K7" i="14" s="1"/>
  <c r="M7" i="14" s="1"/>
  <c r="G6" i="14"/>
  <c r="H6" i="14" s="1"/>
  <c r="I6" i="14" s="1"/>
  <c r="K6" i="14" s="1"/>
  <c r="M6" i="14" s="1"/>
  <c r="G5" i="14"/>
  <c r="H5" i="14" s="1"/>
  <c r="I5" i="14" s="1"/>
  <c r="G4" i="14"/>
  <c r="H4" i="14" s="1"/>
  <c r="L24" i="11"/>
  <c r="J24" i="11"/>
  <c r="F24" i="11"/>
  <c r="D24" i="11"/>
  <c r="E23" i="11"/>
  <c r="G23" i="11" s="1"/>
  <c r="H23" i="11" s="1"/>
  <c r="E22" i="11"/>
  <c r="G22" i="11" s="1"/>
  <c r="H22" i="11" s="1"/>
  <c r="E21" i="11"/>
  <c r="G21" i="11" s="1"/>
  <c r="H21" i="11" s="1"/>
  <c r="I21" i="11" s="1"/>
  <c r="E20" i="11"/>
  <c r="G20" i="11" s="1"/>
  <c r="H20" i="11" s="1"/>
  <c r="I20" i="11" s="1"/>
  <c r="E19" i="11"/>
  <c r="G19" i="11" s="1"/>
  <c r="H19" i="11" s="1"/>
  <c r="I19" i="11" s="1"/>
  <c r="K19" i="11" s="1"/>
  <c r="M19" i="11" s="1"/>
  <c r="E18" i="11"/>
  <c r="G18" i="11" s="1"/>
  <c r="H18" i="11" s="1"/>
  <c r="E17" i="11"/>
  <c r="G17" i="11" s="1"/>
  <c r="H17" i="11" s="1"/>
  <c r="I17" i="11" s="1"/>
  <c r="K17" i="11" s="1"/>
  <c r="M17" i="11" s="1"/>
  <c r="E16" i="11"/>
  <c r="G16" i="11" s="1"/>
  <c r="H16" i="11" s="1"/>
  <c r="I16" i="11" s="1"/>
  <c r="E15" i="11"/>
  <c r="G15" i="11" s="1"/>
  <c r="H15" i="11" s="1"/>
  <c r="E14" i="11"/>
  <c r="G14" i="11" s="1"/>
  <c r="H14" i="11" s="1"/>
  <c r="E13" i="11"/>
  <c r="G13" i="11" s="1"/>
  <c r="H13" i="11" s="1"/>
  <c r="I13" i="11" s="1"/>
  <c r="E12" i="11"/>
  <c r="G12" i="11" s="1"/>
  <c r="H12" i="11" s="1"/>
  <c r="E11" i="11"/>
  <c r="G11" i="11" s="1"/>
  <c r="H11" i="11" s="1"/>
  <c r="I11" i="11" s="1"/>
  <c r="K11" i="11" s="1"/>
  <c r="M11" i="11" s="1"/>
  <c r="E10" i="11"/>
  <c r="G10" i="11" s="1"/>
  <c r="H10" i="11" s="1"/>
  <c r="E9" i="11"/>
  <c r="G9" i="11" s="1"/>
  <c r="H9" i="11" s="1"/>
  <c r="I9" i="11" s="1"/>
  <c r="K9" i="11" s="1"/>
  <c r="M9" i="11" s="1"/>
  <c r="E8" i="11"/>
  <c r="G8" i="11" s="1"/>
  <c r="H8" i="11" s="1"/>
  <c r="I8" i="11" s="1"/>
  <c r="E7" i="11"/>
  <c r="G7" i="11" s="1"/>
  <c r="H7" i="11" s="1"/>
  <c r="E6" i="11"/>
  <c r="G6" i="11" s="1"/>
  <c r="H6" i="11" s="1"/>
  <c r="I6" i="11" s="1"/>
  <c r="G5" i="11"/>
  <c r="H5" i="11" s="1"/>
  <c r="I5" i="11" s="1"/>
  <c r="G4" i="11"/>
  <c r="H4" i="11" s="1"/>
  <c r="I4" i="11" s="1"/>
  <c r="L24" i="10"/>
  <c r="J24" i="10"/>
  <c r="F24" i="10"/>
  <c r="D24" i="10"/>
  <c r="E23" i="10"/>
  <c r="G23" i="10" s="1"/>
  <c r="H23" i="10" s="1"/>
  <c r="I23" i="10" s="1"/>
  <c r="K23" i="10" s="1"/>
  <c r="M23" i="10" s="1"/>
  <c r="E22" i="10"/>
  <c r="G22" i="10" s="1"/>
  <c r="H22" i="10" s="1"/>
  <c r="E21" i="10"/>
  <c r="G21" i="10" s="1"/>
  <c r="H21" i="10" s="1"/>
  <c r="I21" i="10" s="1"/>
  <c r="K21" i="10" s="1"/>
  <c r="M21" i="10" s="1"/>
  <c r="E20" i="10"/>
  <c r="G20" i="10" s="1"/>
  <c r="H20" i="10" s="1"/>
  <c r="I20" i="10" s="1"/>
  <c r="E19" i="10"/>
  <c r="G19" i="10" s="1"/>
  <c r="H19" i="10" s="1"/>
  <c r="I19" i="10" s="1"/>
  <c r="E18" i="10"/>
  <c r="G18" i="10" s="1"/>
  <c r="H18" i="10" s="1"/>
  <c r="I18" i="10" s="1"/>
  <c r="K18" i="10" s="1"/>
  <c r="M18" i="10" s="1"/>
  <c r="E17" i="10"/>
  <c r="G17" i="10" s="1"/>
  <c r="H17" i="10" s="1"/>
  <c r="I17" i="10" s="1"/>
  <c r="E16" i="10"/>
  <c r="G16" i="10" s="1"/>
  <c r="H16" i="10" s="1"/>
  <c r="E15" i="10"/>
  <c r="G15" i="10" s="1"/>
  <c r="H15" i="10" s="1"/>
  <c r="I15" i="10" s="1"/>
  <c r="E14" i="10"/>
  <c r="G14" i="10" s="1"/>
  <c r="H14" i="10" s="1"/>
  <c r="E13" i="10"/>
  <c r="G13" i="10" s="1"/>
  <c r="H13" i="10" s="1"/>
  <c r="E12" i="10"/>
  <c r="G12" i="10" s="1"/>
  <c r="H12" i="10" s="1"/>
  <c r="I12" i="10" s="1"/>
  <c r="K12" i="10" s="1"/>
  <c r="M12" i="10" s="1"/>
  <c r="E11" i="10"/>
  <c r="G11" i="10" s="1"/>
  <c r="H11" i="10" s="1"/>
  <c r="I11" i="10" s="1"/>
  <c r="E10" i="10"/>
  <c r="G10" i="10" s="1"/>
  <c r="H10" i="10" s="1"/>
  <c r="I10" i="10" s="1"/>
  <c r="K10" i="10" s="1"/>
  <c r="M10" i="10" s="1"/>
  <c r="E9" i="10"/>
  <c r="G9" i="10" s="1"/>
  <c r="H9" i="10" s="1"/>
  <c r="E8" i="10"/>
  <c r="G8" i="10" s="1"/>
  <c r="H8" i="10" s="1"/>
  <c r="E7" i="10"/>
  <c r="G7" i="10" s="1"/>
  <c r="H7" i="10" s="1"/>
  <c r="I7" i="10" s="1"/>
  <c r="K7" i="10" s="1"/>
  <c r="M7" i="10" s="1"/>
  <c r="E6" i="10"/>
  <c r="G6" i="10" s="1"/>
  <c r="H6" i="10" s="1"/>
  <c r="I6" i="10" s="1"/>
  <c r="E5" i="10"/>
  <c r="G5" i="10" s="1"/>
  <c r="H5" i="10" s="1"/>
  <c r="I5" i="10" s="1"/>
  <c r="E4" i="10"/>
  <c r="G4" i="10" s="1"/>
  <c r="H4" i="10" s="1"/>
  <c r="I4" i="10" s="1"/>
  <c r="L24" i="9"/>
  <c r="J24" i="9"/>
  <c r="F24" i="9"/>
  <c r="D24" i="9"/>
  <c r="E23" i="9"/>
  <c r="G23" i="9" s="1"/>
  <c r="H23" i="9" s="1"/>
  <c r="E22" i="9"/>
  <c r="G22" i="9" s="1"/>
  <c r="H22" i="9" s="1"/>
  <c r="I22" i="9" s="1"/>
  <c r="E21" i="9"/>
  <c r="G21" i="9" s="1"/>
  <c r="H21" i="9" s="1"/>
  <c r="I21" i="9" s="1"/>
  <c r="K21" i="9" s="1"/>
  <c r="M21" i="9" s="1"/>
  <c r="E20" i="9"/>
  <c r="G20" i="9" s="1"/>
  <c r="H20" i="9" s="1"/>
  <c r="E19" i="9"/>
  <c r="G19" i="9" s="1"/>
  <c r="H19" i="9" s="1"/>
  <c r="I19" i="9" s="1"/>
  <c r="E18" i="9"/>
  <c r="G18" i="9" s="1"/>
  <c r="H18" i="9" s="1"/>
  <c r="I18" i="9" s="1"/>
  <c r="E17" i="9"/>
  <c r="G17" i="9" s="1"/>
  <c r="H17" i="9" s="1"/>
  <c r="E16" i="9"/>
  <c r="G16" i="9" s="1"/>
  <c r="H16" i="9" s="1"/>
  <c r="E15" i="9"/>
  <c r="G15" i="9" s="1"/>
  <c r="H15" i="9" s="1"/>
  <c r="I15" i="9" s="1"/>
  <c r="E14" i="9"/>
  <c r="G14" i="9" s="1"/>
  <c r="H14" i="9" s="1"/>
  <c r="I14" i="9" s="1"/>
  <c r="E13" i="9"/>
  <c r="G13" i="9" s="1"/>
  <c r="H13" i="9" s="1"/>
  <c r="I13" i="9" s="1"/>
  <c r="E12" i="9"/>
  <c r="G12" i="9" s="1"/>
  <c r="H12" i="9" s="1"/>
  <c r="E11" i="9"/>
  <c r="G11" i="9" s="1"/>
  <c r="H11" i="9" s="1"/>
  <c r="E10" i="9"/>
  <c r="G10" i="9" s="1"/>
  <c r="H10" i="9" s="1"/>
  <c r="E9" i="9"/>
  <c r="G9" i="9" s="1"/>
  <c r="H9" i="9" s="1"/>
  <c r="I9" i="9" s="1"/>
  <c r="E8" i="9"/>
  <c r="G8" i="9" s="1"/>
  <c r="H8" i="9" s="1"/>
  <c r="I8" i="9" s="1"/>
  <c r="E7" i="9"/>
  <c r="G7" i="9" s="1"/>
  <c r="H7" i="9" s="1"/>
  <c r="E6" i="9"/>
  <c r="G6" i="9" s="1"/>
  <c r="H6" i="9" s="1"/>
  <c r="E5" i="9"/>
  <c r="G5" i="9" s="1"/>
  <c r="H5" i="9" s="1"/>
  <c r="I5" i="9" s="1"/>
  <c r="E4" i="9"/>
  <c r="L24" i="8"/>
  <c r="J24" i="8"/>
  <c r="F24" i="8"/>
  <c r="D24" i="8"/>
  <c r="E23" i="8"/>
  <c r="G23" i="8" s="1"/>
  <c r="H23" i="8" s="1"/>
  <c r="E22" i="8"/>
  <c r="G22" i="8" s="1"/>
  <c r="H22" i="8" s="1"/>
  <c r="E21" i="8"/>
  <c r="G21" i="8" s="1"/>
  <c r="H21" i="8" s="1"/>
  <c r="I21" i="8" s="1"/>
  <c r="E20" i="8"/>
  <c r="G20" i="8" s="1"/>
  <c r="H20" i="8" s="1"/>
  <c r="I20" i="8" s="1"/>
  <c r="E19" i="8"/>
  <c r="G19" i="8" s="1"/>
  <c r="H19" i="8" s="1"/>
  <c r="I19" i="8" s="1"/>
  <c r="E18" i="8"/>
  <c r="G18" i="8" s="1"/>
  <c r="H18" i="8" s="1"/>
  <c r="E17" i="8"/>
  <c r="G17" i="8" s="1"/>
  <c r="H17" i="8" s="1"/>
  <c r="E16" i="8"/>
  <c r="G16" i="8" s="1"/>
  <c r="H16" i="8" s="1"/>
  <c r="I16" i="8" s="1"/>
  <c r="E15" i="8"/>
  <c r="G15" i="8" s="1"/>
  <c r="H15" i="8" s="1"/>
  <c r="I15" i="8" s="1"/>
  <c r="E14" i="8"/>
  <c r="G14" i="8" s="1"/>
  <c r="H14" i="8" s="1"/>
  <c r="E13" i="8"/>
  <c r="G13" i="8" s="1"/>
  <c r="H13" i="8" s="1"/>
  <c r="E12" i="8"/>
  <c r="G12" i="8" s="1"/>
  <c r="H12" i="8" s="1"/>
  <c r="I12" i="8" s="1"/>
  <c r="E11" i="8"/>
  <c r="G11" i="8" s="1"/>
  <c r="H11" i="8" s="1"/>
  <c r="I11" i="8" s="1"/>
  <c r="E10" i="8"/>
  <c r="G10" i="8" s="1"/>
  <c r="H10" i="8" s="1"/>
  <c r="I10" i="8" s="1"/>
  <c r="K10" i="8" s="1"/>
  <c r="M10" i="8" s="1"/>
  <c r="E9" i="8"/>
  <c r="G9" i="8" s="1"/>
  <c r="H9" i="8" s="1"/>
  <c r="E8" i="8"/>
  <c r="G8" i="8" s="1"/>
  <c r="H8" i="8" s="1"/>
  <c r="I8" i="8" s="1"/>
  <c r="K8" i="8" s="1"/>
  <c r="M8" i="8" s="1"/>
  <c r="E7" i="8"/>
  <c r="G7" i="8" s="1"/>
  <c r="H7" i="8" s="1"/>
  <c r="I7" i="8" s="1"/>
  <c r="E6" i="8"/>
  <c r="G6" i="8" s="1"/>
  <c r="H6" i="8" s="1"/>
  <c r="I6" i="8" s="1"/>
  <c r="E5" i="8"/>
  <c r="G5" i="8" s="1"/>
  <c r="H5" i="8" s="1"/>
  <c r="E4" i="8"/>
  <c r="G4" i="8" s="1"/>
  <c r="H4" i="8" s="1"/>
  <c r="I4" i="8" s="1"/>
  <c r="L24" i="7"/>
  <c r="J24" i="7"/>
  <c r="F24" i="7"/>
  <c r="D24" i="7"/>
  <c r="E23" i="7"/>
  <c r="G23" i="7" s="1"/>
  <c r="H23" i="7" s="1"/>
  <c r="I23" i="7" s="1"/>
  <c r="E22" i="7"/>
  <c r="G22" i="7" s="1"/>
  <c r="H22" i="7" s="1"/>
  <c r="I22" i="7" s="1"/>
  <c r="K22" i="7" s="1"/>
  <c r="M22" i="7" s="1"/>
  <c r="E21" i="7"/>
  <c r="G21" i="7" s="1"/>
  <c r="H21" i="7" s="1"/>
  <c r="E20" i="7"/>
  <c r="G20" i="7" s="1"/>
  <c r="H20" i="7" s="1"/>
  <c r="E19" i="7"/>
  <c r="G19" i="7" s="1"/>
  <c r="H19" i="7" s="1"/>
  <c r="E18" i="7"/>
  <c r="G18" i="7" s="1"/>
  <c r="H18" i="7" s="1"/>
  <c r="I18" i="7" s="1"/>
  <c r="E17" i="7"/>
  <c r="G17" i="7" s="1"/>
  <c r="H17" i="7" s="1"/>
  <c r="E16" i="7"/>
  <c r="G16" i="7" s="1"/>
  <c r="H16" i="7" s="1"/>
  <c r="E15" i="7"/>
  <c r="G15" i="7" s="1"/>
  <c r="H15" i="7" s="1"/>
  <c r="I15" i="7" s="1"/>
  <c r="E14" i="7"/>
  <c r="G14" i="7" s="1"/>
  <c r="H14" i="7" s="1"/>
  <c r="I14" i="7" s="1"/>
  <c r="E13" i="7"/>
  <c r="G13" i="7" s="1"/>
  <c r="H13" i="7" s="1"/>
  <c r="E12" i="7"/>
  <c r="G12" i="7" s="1"/>
  <c r="H12" i="7" s="1"/>
  <c r="E11" i="7"/>
  <c r="G11" i="7" s="1"/>
  <c r="H11" i="7" s="1"/>
  <c r="E10" i="7"/>
  <c r="G10" i="7" s="1"/>
  <c r="H10" i="7" s="1"/>
  <c r="I10" i="7" s="1"/>
  <c r="E9" i="7"/>
  <c r="G9" i="7" s="1"/>
  <c r="H9" i="7" s="1"/>
  <c r="E8" i="7"/>
  <c r="G8" i="7" s="1"/>
  <c r="H8" i="7" s="1"/>
  <c r="I8" i="7" s="1"/>
  <c r="K8" i="7" s="1"/>
  <c r="M8" i="7" s="1"/>
  <c r="E7" i="7"/>
  <c r="G7" i="7" s="1"/>
  <c r="H7" i="7" s="1"/>
  <c r="I7" i="7" s="1"/>
  <c r="E6" i="7"/>
  <c r="G6" i="7" s="1"/>
  <c r="H6" i="7" s="1"/>
  <c r="I6" i="7" s="1"/>
  <c r="K6" i="7" s="1"/>
  <c r="M6" i="7" s="1"/>
  <c r="E5" i="7"/>
  <c r="G5" i="7" s="1"/>
  <c r="H5" i="7" s="1"/>
  <c r="I5" i="7" s="1"/>
  <c r="G4" i="7"/>
  <c r="H4" i="7" s="1"/>
  <c r="L24" i="6"/>
  <c r="J24" i="6"/>
  <c r="F24" i="6"/>
  <c r="D24" i="6"/>
  <c r="E23" i="6"/>
  <c r="G23" i="6" s="1"/>
  <c r="H23" i="6" s="1"/>
  <c r="I23" i="6" s="1"/>
  <c r="E22" i="6"/>
  <c r="G22" i="6" s="1"/>
  <c r="H22" i="6" s="1"/>
  <c r="I22" i="6" s="1"/>
  <c r="E21" i="6"/>
  <c r="G21" i="6" s="1"/>
  <c r="H21" i="6" s="1"/>
  <c r="E20" i="6"/>
  <c r="G20" i="6" s="1"/>
  <c r="H20" i="6" s="1"/>
  <c r="I20" i="6" s="1"/>
  <c r="K20" i="6" s="1"/>
  <c r="M20" i="6" s="1"/>
  <c r="E19" i="6"/>
  <c r="G19" i="6" s="1"/>
  <c r="H19" i="6" s="1"/>
  <c r="E18" i="6"/>
  <c r="G18" i="6" s="1"/>
  <c r="H18" i="6" s="1"/>
  <c r="I18" i="6" s="1"/>
  <c r="E17" i="6"/>
  <c r="G17" i="6" s="1"/>
  <c r="H17" i="6" s="1"/>
  <c r="I17" i="6" s="1"/>
  <c r="E16" i="6"/>
  <c r="G16" i="6" s="1"/>
  <c r="H16" i="6" s="1"/>
  <c r="E15" i="6"/>
  <c r="G15" i="6" s="1"/>
  <c r="H15" i="6" s="1"/>
  <c r="I15" i="6" s="1"/>
  <c r="E14" i="6"/>
  <c r="G14" i="6" s="1"/>
  <c r="H14" i="6" s="1"/>
  <c r="I14" i="6" s="1"/>
  <c r="E13" i="6"/>
  <c r="G13" i="6" s="1"/>
  <c r="H13" i="6" s="1"/>
  <c r="I13" i="6" s="1"/>
  <c r="E12" i="6"/>
  <c r="G12" i="6" s="1"/>
  <c r="H12" i="6" s="1"/>
  <c r="E11" i="6"/>
  <c r="G11" i="6" s="1"/>
  <c r="H11" i="6" s="1"/>
  <c r="E10" i="6"/>
  <c r="G10" i="6" s="1"/>
  <c r="H10" i="6" s="1"/>
  <c r="I10" i="6" s="1"/>
  <c r="E9" i="6"/>
  <c r="G9" i="6" s="1"/>
  <c r="H9" i="6" s="1"/>
  <c r="I9" i="6" s="1"/>
  <c r="E8" i="6"/>
  <c r="G8" i="6" s="1"/>
  <c r="H8" i="6" s="1"/>
  <c r="E7" i="6"/>
  <c r="G7" i="6" s="1"/>
  <c r="H7" i="6" s="1"/>
  <c r="I7" i="6" s="1"/>
  <c r="E6" i="6"/>
  <c r="G6" i="6" s="1"/>
  <c r="H6" i="6" s="1"/>
  <c r="I6" i="6" s="1"/>
  <c r="E5" i="6"/>
  <c r="G5" i="6" s="1"/>
  <c r="H5" i="6" s="1"/>
  <c r="I5" i="6" s="1"/>
  <c r="C10" i="27" l="1"/>
  <c r="C8" i="27"/>
  <c r="L30" i="4"/>
  <c r="J30" i="4"/>
  <c r="F30" i="4"/>
  <c r="D29" i="4"/>
  <c r="H68" i="4" s="1"/>
  <c r="K20" i="25"/>
  <c r="M20" i="25" s="1"/>
  <c r="I6" i="15"/>
  <c r="K6" i="15" s="1"/>
  <c r="M6" i="15" s="1"/>
  <c r="H6" i="25"/>
  <c r="I6" i="25" s="1"/>
  <c r="K6" i="25" s="1"/>
  <c r="M6" i="25" s="1"/>
  <c r="H16" i="25"/>
  <c r="I16" i="25" s="1"/>
  <c r="K16" i="25" s="1"/>
  <c r="M16" i="25" s="1"/>
  <c r="I19" i="20"/>
  <c r="K19" i="20" s="1"/>
  <c r="M19" i="20" s="1"/>
  <c r="I20" i="26"/>
  <c r="K20" i="26" s="1"/>
  <c r="M20" i="26" s="1"/>
  <c r="I7" i="16"/>
  <c r="K7" i="16" s="1"/>
  <c r="M7" i="16" s="1"/>
  <c r="I13" i="16"/>
  <c r="K13" i="16" s="1"/>
  <c r="M13" i="16" s="1"/>
  <c r="I5" i="19"/>
  <c r="K5" i="19" s="1"/>
  <c r="M5" i="19" s="1"/>
  <c r="H13" i="25"/>
  <c r="I13" i="25" s="1"/>
  <c r="K13" i="25" s="1"/>
  <c r="M13" i="25" s="1"/>
  <c r="H22" i="25"/>
  <c r="I22" i="25" s="1"/>
  <c r="I9" i="18"/>
  <c r="K9" i="18" s="1"/>
  <c r="M9" i="18" s="1"/>
  <c r="K5" i="14"/>
  <c r="M5" i="14" s="1"/>
  <c r="K9" i="15"/>
  <c r="M9" i="15" s="1"/>
  <c r="K13" i="21"/>
  <c r="M13" i="21" s="1"/>
  <c r="I17" i="14"/>
  <c r="K17" i="14" s="1"/>
  <c r="M17" i="14" s="1"/>
  <c r="I19" i="16"/>
  <c r="K19" i="16" s="1"/>
  <c r="M19" i="16" s="1"/>
  <c r="I19" i="21"/>
  <c r="K19" i="21" s="1"/>
  <c r="M19" i="21" s="1"/>
  <c r="K8" i="15"/>
  <c r="M8" i="15" s="1"/>
  <c r="K15" i="23"/>
  <c r="M15" i="23" s="1"/>
  <c r="K15" i="22"/>
  <c r="M15" i="22" s="1"/>
  <c r="H17" i="25"/>
  <c r="I17" i="25" s="1"/>
  <c r="K23" i="18"/>
  <c r="M23" i="18" s="1"/>
  <c r="K22" i="19"/>
  <c r="M22" i="19" s="1"/>
  <c r="K10" i="21"/>
  <c r="M10" i="21" s="1"/>
  <c r="K16" i="15"/>
  <c r="M16" i="15" s="1"/>
  <c r="K15" i="17"/>
  <c r="M15" i="17" s="1"/>
  <c r="K23" i="25"/>
  <c r="M23" i="25" s="1"/>
  <c r="K22" i="15"/>
  <c r="M22" i="15" s="1"/>
  <c r="K20" i="18"/>
  <c r="M20" i="18" s="1"/>
  <c r="K16" i="19"/>
  <c r="M16" i="19" s="1"/>
  <c r="K7" i="21"/>
  <c r="M7" i="21" s="1"/>
  <c r="K17" i="21"/>
  <c r="M17" i="21" s="1"/>
  <c r="K10" i="22"/>
  <c r="M10" i="22" s="1"/>
  <c r="K6" i="23"/>
  <c r="M6" i="23" s="1"/>
  <c r="K12" i="23"/>
  <c r="M12" i="23" s="1"/>
  <c r="K11" i="25"/>
  <c r="M11" i="25" s="1"/>
  <c r="K14" i="26"/>
  <c r="M14" i="26" s="1"/>
  <c r="K8" i="24"/>
  <c r="M8" i="24" s="1"/>
  <c r="K11" i="22"/>
  <c r="M11" i="22" s="1"/>
  <c r="E6" i="27"/>
  <c r="I13" i="18"/>
  <c r="K13" i="18" s="1"/>
  <c r="M13" i="18" s="1"/>
  <c r="I15" i="18"/>
  <c r="K15" i="18" s="1"/>
  <c r="M15" i="18" s="1"/>
  <c r="I22" i="17"/>
  <c r="K22" i="17"/>
  <c r="M22" i="17" s="1"/>
  <c r="K8" i="14"/>
  <c r="M8" i="14" s="1"/>
  <c r="K11" i="14"/>
  <c r="M11" i="14" s="1"/>
  <c r="K14" i="14"/>
  <c r="M14" i="14" s="1"/>
  <c r="K5" i="15"/>
  <c r="M5" i="15" s="1"/>
  <c r="K13" i="15"/>
  <c r="M13" i="15" s="1"/>
  <c r="K16" i="16"/>
  <c r="M16" i="16" s="1"/>
  <c r="I20" i="20"/>
  <c r="K20" i="20" s="1"/>
  <c r="M20" i="20" s="1"/>
  <c r="I23" i="23"/>
  <c r="K23" i="23" s="1"/>
  <c r="M23" i="23" s="1"/>
  <c r="I10" i="24"/>
  <c r="K10" i="24" s="1"/>
  <c r="M10" i="24" s="1"/>
  <c r="I10" i="25"/>
  <c r="K10" i="25" s="1"/>
  <c r="M10" i="25" s="1"/>
  <c r="I13" i="26"/>
  <c r="K13" i="26" s="1"/>
  <c r="M13" i="26" s="1"/>
  <c r="K13" i="14"/>
  <c r="M13" i="14" s="1"/>
  <c r="K19" i="15"/>
  <c r="M19" i="15" s="1"/>
  <c r="K4" i="16"/>
  <c r="M4" i="16" s="1"/>
  <c r="K6" i="16"/>
  <c r="M6" i="16" s="1"/>
  <c r="K17" i="16"/>
  <c r="M17" i="16" s="1"/>
  <c r="K16" i="17"/>
  <c r="M16" i="17" s="1"/>
  <c r="K14" i="18"/>
  <c r="M14" i="18" s="1"/>
  <c r="K17" i="18"/>
  <c r="M17" i="18" s="1"/>
  <c r="K15" i="19"/>
  <c r="M15" i="19" s="1"/>
  <c r="K19" i="19"/>
  <c r="M19" i="19" s="1"/>
  <c r="K21" i="19"/>
  <c r="M21" i="19" s="1"/>
  <c r="K10" i="20"/>
  <c r="M10" i="20" s="1"/>
  <c r="K13" i="20"/>
  <c r="M13" i="20" s="1"/>
  <c r="K22" i="20"/>
  <c r="M22" i="20" s="1"/>
  <c r="H24" i="21"/>
  <c r="H23" i="4" s="1"/>
  <c r="H62" i="4" s="1"/>
  <c r="K14" i="21"/>
  <c r="M14" i="21" s="1"/>
  <c r="K20" i="21"/>
  <c r="M20" i="21" s="1"/>
  <c r="K21" i="22"/>
  <c r="M21" i="22" s="1"/>
  <c r="K9" i="23"/>
  <c r="M9" i="23" s="1"/>
  <c r="I11" i="23"/>
  <c r="K11" i="23" s="1"/>
  <c r="M11" i="23" s="1"/>
  <c r="K17" i="24"/>
  <c r="M17" i="24" s="1"/>
  <c r="K16" i="21"/>
  <c r="M16" i="21" s="1"/>
  <c r="K22" i="21"/>
  <c r="M22" i="21" s="1"/>
  <c r="K20" i="24"/>
  <c r="M20" i="24" s="1"/>
  <c r="K15" i="26"/>
  <c r="M15" i="26" s="1"/>
  <c r="K21" i="26"/>
  <c r="M21" i="26" s="1"/>
  <c r="K17" i="15"/>
  <c r="M17" i="15" s="1"/>
  <c r="K14" i="16"/>
  <c r="M14" i="16" s="1"/>
  <c r="K18" i="17"/>
  <c r="M18" i="17" s="1"/>
  <c r="K6" i="18"/>
  <c r="M6" i="18" s="1"/>
  <c r="K16" i="20"/>
  <c r="M16" i="20" s="1"/>
  <c r="K4" i="21"/>
  <c r="M4" i="21" s="1"/>
  <c r="K15" i="14"/>
  <c r="M15" i="14" s="1"/>
  <c r="K12" i="17"/>
  <c r="M12" i="17" s="1"/>
  <c r="K11" i="26"/>
  <c r="M11" i="26" s="1"/>
  <c r="H24" i="10"/>
  <c r="K20" i="16"/>
  <c r="M20" i="16" s="1"/>
  <c r="K12" i="22"/>
  <c r="M12" i="22" s="1"/>
  <c r="H24" i="7"/>
  <c r="K4" i="20"/>
  <c r="M4" i="20" s="1"/>
  <c r="K7" i="22"/>
  <c r="M7" i="22" s="1"/>
  <c r="K13" i="23"/>
  <c r="M13" i="23" s="1"/>
  <c r="K14" i="24"/>
  <c r="M14" i="24" s="1"/>
  <c r="H24" i="17"/>
  <c r="H19" i="4" s="1"/>
  <c r="H58" i="4" s="1"/>
  <c r="H24" i="8"/>
  <c r="K21" i="16"/>
  <c r="M21" i="16" s="1"/>
  <c r="K8" i="18"/>
  <c r="M8" i="18" s="1"/>
  <c r="H24" i="20"/>
  <c r="H22" i="4" s="1"/>
  <c r="H61" i="4" s="1"/>
  <c r="K8" i="20"/>
  <c r="M8" i="20" s="1"/>
  <c r="K5" i="24"/>
  <c r="M5" i="24" s="1"/>
  <c r="K12" i="25"/>
  <c r="M12" i="25" s="1"/>
  <c r="K18" i="25"/>
  <c r="M18" i="25" s="1"/>
  <c r="K5" i="22"/>
  <c r="M5" i="22" s="1"/>
  <c r="K8" i="22"/>
  <c r="M8" i="22" s="1"/>
  <c r="E24" i="18"/>
  <c r="E20" i="4" s="1"/>
  <c r="E59" i="4" s="1"/>
  <c r="E24" i="23"/>
  <c r="E25" i="4" s="1"/>
  <c r="E64" i="4" s="1"/>
  <c r="E24" i="24"/>
  <c r="E26" i="4" s="1"/>
  <c r="E65" i="4" s="1"/>
  <c r="G4" i="18"/>
  <c r="H4" i="18" s="1"/>
  <c r="I4" i="18" s="1"/>
  <c r="E24" i="20"/>
  <c r="E22" i="4" s="1"/>
  <c r="E61" i="4" s="1"/>
  <c r="G4" i="23"/>
  <c r="E24" i="25"/>
  <c r="E27" i="4" s="1"/>
  <c r="E66" i="4" s="1"/>
  <c r="E24" i="15"/>
  <c r="E17" i="4" s="1"/>
  <c r="E34" i="4" s="1"/>
  <c r="G4" i="25"/>
  <c r="E24" i="19"/>
  <c r="E21" i="4" s="1"/>
  <c r="E60" i="4" s="1"/>
  <c r="E24" i="26"/>
  <c r="E28" i="4" s="1"/>
  <c r="E67" i="4" s="1"/>
  <c r="E24" i="16"/>
  <c r="E18" i="4" s="1"/>
  <c r="E57" i="4" s="1"/>
  <c r="G24" i="21"/>
  <c r="G23" i="4" s="1"/>
  <c r="E24" i="17"/>
  <c r="E19" i="4" s="1"/>
  <c r="E58" i="4" s="1"/>
  <c r="G4" i="24"/>
  <c r="G5" i="27"/>
  <c r="E24" i="11"/>
  <c r="E24" i="21"/>
  <c r="E23" i="4" s="1"/>
  <c r="E62" i="4" s="1"/>
  <c r="E24" i="14"/>
  <c r="E16" i="4" s="1"/>
  <c r="E33" i="4" s="1"/>
  <c r="G4" i="19"/>
  <c r="G4" i="6"/>
  <c r="G24" i="6" s="1"/>
  <c r="G4" i="15"/>
  <c r="G4" i="26"/>
  <c r="E24" i="22"/>
  <c r="E24" i="4" s="1"/>
  <c r="E63" i="4" s="1"/>
  <c r="E24" i="10"/>
  <c r="I20" i="14"/>
  <c r="K20" i="14" s="1"/>
  <c r="M20" i="14" s="1"/>
  <c r="I12" i="18"/>
  <c r="K12" i="18" s="1"/>
  <c r="M12" i="18" s="1"/>
  <c r="I8" i="19"/>
  <c r="K8" i="19" s="1"/>
  <c r="M8" i="19" s="1"/>
  <c r="I14" i="19"/>
  <c r="K14" i="19" s="1"/>
  <c r="M14" i="19" s="1"/>
  <c r="I14" i="15"/>
  <c r="K14" i="15" s="1"/>
  <c r="M14" i="15" s="1"/>
  <c r="I13" i="17"/>
  <c r="K13" i="17" s="1"/>
  <c r="M13" i="17" s="1"/>
  <c r="I5" i="20"/>
  <c r="K5" i="20" s="1"/>
  <c r="M5" i="20" s="1"/>
  <c r="I9" i="24"/>
  <c r="K9" i="24" s="1"/>
  <c r="M9" i="24" s="1"/>
  <c r="I12" i="14"/>
  <c r="K12" i="14" s="1"/>
  <c r="M12" i="14" s="1"/>
  <c r="I20" i="15"/>
  <c r="K20" i="15" s="1"/>
  <c r="M20" i="15" s="1"/>
  <c r="I11" i="16"/>
  <c r="K11" i="16" s="1"/>
  <c r="M11" i="16" s="1"/>
  <c r="I19" i="17"/>
  <c r="K19" i="17" s="1"/>
  <c r="M19" i="17" s="1"/>
  <c r="I11" i="20"/>
  <c r="K11" i="20" s="1"/>
  <c r="M11" i="20" s="1"/>
  <c r="I17" i="20"/>
  <c r="K17" i="20" s="1"/>
  <c r="M17" i="20" s="1"/>
  <c r="I5" i="21"/>
  <c r="I16" i="22"/>
  <c r="K16" i="22" s="1"/>
  <c r="M16" i="22" s="1"/>
  <c r="I15" i="24"/>
  <c r="K15" i="24" s="1"/>
  <c r="M15" i="24" s="1"/>
  <c r="I21" i="24"/>
  <c r="K21" i="24" s="1"/>
  <c r="M21" i="24" s="1"/>
  <c r="I9" i="25"/>
  <c r="K9" i="25" s="1"/>
  <c r="M9" i="25" s="1"/>
  <c r="I6" i="26"/>
  <c r="K6" i="26" s="1"/>
  <c r="M6" i="26" s="1"/>
  <c r="I16" i="23"/>
  <c r="K16" i="23" s="1"/>
  <c r="M16" i="23" s="1"/>
  <c r="I12" i="15"/>
  <c r="K12" i="15" s="1"/>
  <c r="M12" i="15" s="1"/>
  <c r="I18" i="19"/>
  <c r="K18" i="19" s="1"/>
  <c r="M18" i="19" s="1"/>
  <c r="I18" i="15"/>
  <c r="K18" i="15" s="1"/>
  <c r="M18" i="15" s="1"/>
  <c r="I17" i="17"/>
  <c r="K17" i="17" s="1"/>
  <c r="M17" i="17" s="1"/>
  <c r="I9" i="20"/>
  <c r="K9" i="20" s="1"/>
  <c r="M9" i="20" s="1"/>
  <c r="I9" i="21"/>
  <c r="K9" i="21" s="1"/>
  <c r="M9" i="21" s="1"/>
  <c r="I7" i="25"/>
  <c r="I10" i="26"/>
  <c r="K10" i="26" s="1"/>
  <c r="M10" i="26" s="1"/>
  <c r="I16" i="14"/>
  <c r="K16" i="14" s="1"/>
  <c r="M16" i="14" s="1"/>
  <c r="I15" i="16"/>
  <c r="K15" i="16" s="1"/>
  <c r="M15" i="16" s="1"/>
  <c r="I23" i="17"/>
  <c r="K23" i="17" s="1"/>
  <c r="M23" i="17" s="1"/>
  <c r="I21" i="20"/>
  <c r="K21" i="20" s="1"/>
  <c r="M21" i="20" s="1"/>
  <c r="I15" i="21"/>
  <c r="K15" i="21" s="1"/>
  <c r="M15" i="21" s="1"/>
  <c r="I21" i="21"/>
  <c r="K21" i="21" s="1"/>
  <c r="M21" i="21" s="1"/>
  <c r="I14" i="23"/>
  <c r="I19" i="25"/>
  <c r="K19" i="25" s="1"/>
  <c r="M19" i="25" s="1"/>
  <c r="I22" i="26"/>
  <c r="K22" i="26" s="1"/>
  <c r="M22" i="26" s="1"/>
  <c r="I22" i="14"/>
  <c r="K22" i="14" s="1"/>
  <c r="M22" i="14" s="1"/>
  <c r="I9" i="17"/>
  <c r="K9" i="17" s="1"/>
  <c r="M9" i="17" s="1"/>
  <c r="I20" i="23"/>
  <c r="K20" i="23" s="1"/>
  <c r="M20" i="23" s="1"/>
  <c r="I4" i="14"/>
  <c r="K4" i="14" s="1"/>
  <c r="M4" i="14" s="1"/>
  <c r="I7" i="24"/>
  <c r="K7" i="24" s="1"/>
  <c r="M7" i="24" s="1"/>
  <c r="I22" i="18"/>
  <c r="K22" i="18" s="1"/>
  <c r="M22" i="18" s="1"/>
  <c r="I13" i="24"/>
  <c r="K13" i="24" s="1"/>
  <c r="M13" i="24" s="1"/>
  <c r="I19" i="24"/>
  <c r="K19" i="24" s="1"/>
  <c r="M19" i="24" s="1"/>
  <c r="I6" i="22"/>
  <c r="I5" i="17"/>
  <c r="I12" i="19"/>
  <c r="K12" i="19" s="1"/>
  <c r="M12" i="19" s="1"/>
  <c r="I23" i="16"/>
  <c r="K23" i="16" s="1"/>
  <c r="M23" i="16" s="1"/>
  <c r="I14" i="22"/>
  <c r="K14" i="22" s="1"/>
  <c r="M14" i="22" s="1"/>
  <c r="I8" i="23"/>
  <c r="K8" i="23" s="1"/>
  <c r="M8" i="23" s="1"/>
  <c r="I16" i="18"/>
  <c r="K16" i="18" s="1"/>
  <c r="M16" i="18" s="1"/>
  <c r="K6" i="20"/>
  <c r="M6" i="20" s="1"/>
  <c r="K7" i="17"/>
  <c r="M7" i="17" s="1"/>
  <c r="K5" i="18"/>
  <c r="M5" i="18" s="1"/>
  <c r="K11" i="17"/>
  <c r="M11" i="17" s="1"/>
  <c r="K21" i="17"/>
  <c r="M21" i="17" s="1"/>
  <c r="K20" i="19"/>
  <c r="M20" i="19" s="1"/>
  <c r="K7" i="20"/>
  <c r="M7" i="20" s="1"/>
  <c r="K23" i="21"/>
  <c r="M23" i="21" s="1"/>
  <c r="K10" i="23"/>
  <c r="M10" i="23" s="1"/>
  <c r="K23" i="24"/>
  <c r="M23" i="24" s="1"/>
  <c r="K5" i="25"/>
  <c r="M5" i="25" s="1"/>
  <c r="K22" i="23"/>
  <c r="M22" i="23" s="1"/>
  <c r="K9" i="16"/>
  <c r="M9" i="16" s="1"/>
  <c r="K18" i="18"/>
  <c r="M18" i="18" s="1"/>
  <c r="K10" i="19"/>
  <c r="M10" i="19" s="1"/>
  <c r="K15" i="20"/>
  <c r="M15" i="20" s="1"/>
  <c r="K23" i="20"/>
  <c r="M23" i="20" s="1"/>
  <c r="K18" i="22"/>
  <c r="M18" i="22" s="1"/>
  <c r="K18" i="23"/>
  <c r="M18" i="23" s="1"/>
  <c r="K8" i="26"/>
  <c r="M8" i="26" s="1"/>
  <c r="K18" i="26"/>
  <c r="M18" i="26" s="1"/>
  <c r="K10" i="16"/>
  <c r="M10" i="16" s="1"/>
  <c r="K18" i="14"/>
  <c r="M18" i="14" s="1"/>
  <c r="K10" i="15"/>
  <c r="M10" i="15" s="1"/>
  <c r="K6" i="19"/>
  <c r="M6" i="19" s="1"/>
  <c r="K11" i="21"/>
  <c r="M11" i="21" s="1"/>
  <c r="K11" i="24"/>
  <c r="M11" i="24" s="1"/>
  <c r="H24" i="14"/>
  <c r="H16" i="4" s="1"/>
  <c r="H55" i="4" s="1"/>
  <c r="H24" i="22"/>
  <c r="H24" i="4" s="1"/>
  <c r="H63" i="4" s="1"/>
  <c r="H24" i="16"/>
  <c r="H18" i="4" s="1"/>
  <c r="H57" i="4" s="1"/>
  <c r="K4" i="22"/>
  <c r="K5" i="16"/>
  <c r="M5" i="16" s="1"/>
  <c r="H24" i="11"/>
  <c r="G24" i="20"/>
  <c r="G22" i="4" s="1"/>
  <c r="G24" i="22"/>
  <c r="G24" i="4" s="1"/>
  <c r="G24" i="17"/>
  <c r="G19" i="4" s="1"/>
  <c r="G24" i="16"/>
  <c r="G18" i="4" s="1"/>
  <c r="G24" i="14"/>
  <c r="G16" i="4" s="1"/>
  <c r="I21" i="7"/>
  <c r="K21" i="7" s="1"/>
  <c r="M21" i="7" s="1"/>
  <c r="I18" i="11"/>
  <c r="K18" i="11" s="1"/>
  <c r="M18" i="11" s="1"/>
  <c r="I4" i="7"/>
  <c r="I12" i="6"/>
  <c r="K12" i="6" s="1"/>
  <c r="M12" i="6" s="1"/>
  <c r="I9" i="8"/>
  <c r="K9" i="8" s="1"/>
  <c r="M9" i="8" s="1"/>
  <c r="I10" i="9"/>
  <c r="K10" i="9" s="1"/>
  <c r="M10" i="9" s="1"/>
  <c r="I7" i="11"/>
  <c r="K7" i="11" s="1"/>
  <c r="M7" i="11" s="1"/>
  <c r="I14" i="11"/>
  <c r="K14" i="11" s="1"/>
  <c r="M14" i="11" s="1"/>
  <c r="I8" i="6"/>
  <c r="K8" i="6" s="1"/>
  <c r="M8" i="6" s="1"/>
  <c r="I12" i="7"/>
  <c r="K12" i="7" s="1"/>
  <c r="M12" i="7" s="1"/>
  <c r="I5" i="8"/>
  <c r="I18" i="8"/>
  <c r="K18" i="8" s="1"/>
  <c r="M18" i="8" s="1"/>
  <c r="I23" i="8"/>
  <c r="K23" i="8" s="1"/>
  <c r="M23" i="8" s="1"/>
  <c r="I11" i="9"/>
  <c r="K11" i="9" s="1"/>
  <c r="M11" i="9" s="1"/>
  <c r="I16" i="9"/>
  <c r="K16" i="9" s="1"/>
  <c r="M16" i="9" s="1"/>
  <c r="I8" i="10"/>
  <c r="K8" i="10" s="1"/>
  <c r="M8" i="10" s="1"/>
  <c r="I14" i="10"/>
  <c r="K14" i="10" s="1"/>
  <c r="M14" i="10" s="1"/>
  <c r="I15" i="11"/>
  <c r="K15" i="11" s="1"/>
  <c r="M15" i="11" s="1"/>
  <c r="I22" i="11"/>
  <c r="K22" i="11" s="1"/>
  <c r="M22" i="11" s="1"/>
  <c r="I14" i="8"/>
  <c r="K14" i="8" s="1"/>
  <c r="M14" i="8" s="1"/>
  <c r="I9" i="7"/>
  <c r="K9" i="7" s="1"/>
  <c r="M9" i="7" s="1"/>
  <c r="I11" i="7"/>
  <c r="K11" i="7" s="1"/>
  <c r="M11" i="7" s="1"/>
  <c r="K4" i="8"/>
  <c r="M4" i="8" s="1"/>
  <c r="I19" i="7"/>
  <c r="K19" i="7" s="1"/>
  <c r="M19" i="7" s="1"/>
  <c r="I23" i="9"/>
  <c r="K23" i="9" s="1"/>
  <c r="M23" i="9" s="1"/>
  <c r="I9" i="10"/>
  <c r="K9" i="10" s="1"/>
  <c r="M9" i="10" s="1"/>
  <c r="I23" i="11"/>
  <c r="K23" i="11" s="1"/>
  <c r="M23" i="11" s="1"/>
  <c r="I7" i="9"/>
  <c r="K7" i="9" s="1"/>
  <c r="M7" i="9" s="1"/>
  <c r="I11" i="6"/>
  <c r="K11" i="6" s="1"/>
  <c r="M11" i="6" s="1"/>
  <c r="I19" i="6"/>
  <c r="K19" i="6" s="1"/>
  <c r="M19" i="6" s="1"/>
  <c r="I22" i="8"/>
  <c r="K22" i="8" s="1"/>
  <c r="M22" i="8" s="1"/>
  <c r="I17" i="7"/>
  <c r="K17" i="7" s="1"/>
  <c r="M17" i="7" s="1"/>
  <c r="I17" i="8"/>
  <c r="K17" i="8" s="1"/>
  <c r="M17" i="8" s="1"/>
  <c r="I21" i="6"/>
  <c r="K21" i="6" s="1"/>
  <c r="M21" i="6" s="1"/>
  <c r="I13" i="7"/>
  <c r="K13" i="7" s="1"/>
  <c r="M13" i="7" s="1"/>
  <c r="I17" i="9"/>
  <c r="K17" i="9" s="1"/>
  <c r="M17" i="9" s="1"/>
  <c r="I16" i="6"/>
  <c r="K16" i="6" s="1"/>
  <c r="M16" i="6" s="1"/>
  <c r="I20" i="7"/>
  <c r="K20" i="7" s="1"/>
  <c r="M20" i="7" s="1"/>
  <c r="I13" i="8"/>
  <c r="K13" i="8" s="1"/>
  <c r="M13" i="8" s="1"/>
  <c r="I6" i="9"/>
  <c r="K6" i="9" s="1"/>
  <c r="M6" i="9" s="1"/>
  <c r="I12" i="9"/>
  <c r="K12" i="9" s="1"/>
  <c r="M12" i="9" s="1"/>
  <c r="I16" i="10"/>
  <c r="K16" i="10" s="1"/>
  <c r="M16" i="10" s="1"/>
  <c r="I22" i="10"/>
  <c r="K22" i="10" s="1"/>
  <c r="M22" i="10" s="1"/>
  <c r="I10" i="11"/>
  <c r="K10" i="11" s="1"/>
  <c r="M10" i="11" s="1"/>
  <c r="K20" i="11"/>
  <c r="M20" i="11" s="1"/>
  <c r="I12" i="11"/>
  <c r="K12" i="11" s="1"/>
  <c r="M12" i="11" s="1"/>
  <c r="I16" i="7"/>
  <c r="K16" i="7" s="1"/>
  <c r="M16" i="7" s="1"/>
  <c r="I20" i="9"/>
  <c r="K20" i="9" s="1"/>
  <c r="M20" i="9" s="1"/>
  <c r="I13" i="10"/>
  <c r="K5" i="6"/>
  <c r="M5" i="6" s="1"/>
  <c r="K13" i="6"/>
  <c r="M13" i="6" s="1"/>
  <c r="K14" i="7"/>
  <c r="M14" i="7" s="1"/>
  <c r="K7" i="8"/>
  <c r="M7" i="8" s="1"/>
  <c r="K8" i="9"/>
  <c r="M8" i="9" s="1"/>
  <c r="K13" i="9"/>
  <c r="M13" i="9" s="1"/>
  <c r="K18" i="9"/>
  <c r="M18" i="9" s="1"/>
  <c r="K6" i="10"/>
  <c r="M6" i="10" s="1"/>
  <c r="K11" i="10"/>
  <c r="M11" i="10" s="1"/>
  <c r="K19" i="10"/>
  <c r="M19" i="10" s="1"/>
  <c r="K4" i="11"/>
  <c r="M4" i="11" s="1"/>
  <c r="K6" i="6"/>
  <c r="M6" i="6" s="1"/>
  <c r="K14" i="6"/>
  <c r="M14" i="6" s="1"/>
  <c r="K7" i="7"/>
  <c r="M7" i="7" s="1"/>
  <c r="K16" i="8"/>
  <c r="M16" i="8" s="1"/>
  <c r="K21" i="8"/>
  <c r="M21" i="8" s="1"/>
  <c r="K9" i="9"/>
  <c r="M9" i="9" s="1"/>
  <c r="K14" i="9"/>
  <c r="M14" i="9" s="1"/>
  <c r="K19" i="9"/>
  <c r="M19" i="9" s="1"/>
  <c r="K5" i="11"/>
  <c r="M5" i="11" s="1"/>
  <c r="K9" i="6"/>
  <c r="M9" i="6" s="1"/>
  <c r="K17" i="6"/>
  <c r="M17" i="6" s="1"/>
  <c r="K22" i="6"/>
  <c r="M22" i="6" s="1"/>
  <c r="K5" i="7"/>
  <c r="M5" i="7" s="1"/>
  <c r="K6" i="8"/>
  <c r="M6" i="8" s="1"/>
  <c r="K11" i="8"/>
  <c r="M11" i="8" s="1"/>
  <c r="K19" i="8"/>
  <c r="M19" i="8" s="1"/>
  <c r="K22" i="9"/>
  <c r="M22" i="9" s="1"/>
  <c r="K15" i="10"/>
  <c r="M15" i="10" s="1"/>
  <c r="K20" i="10"/>
  <c r="M20" i="10" s="1"/>
  <c r="K8" i="11"/>
  <c r="M8" i="11" s="1"/>
  <c r="K13" i="11"/>
  <c r="M13" i="11" s="1"/>
  <c r="K7" i="6"/>
  <c r="M7" i="6" s="1"/>
  <c r="K15" i="6"/>
  <c r="M15" i="6" s="1"/>
  <c r="K15" i="7"/>
  <c r="M15" i="7" s="1"/>
  <c r="K12" i="8"/>
  <c r="M12" i="8" s="1"/>
  <c r="K6" i="11"/>
  <c r="M6" i="11" s="1"/>
  <c r="K16" i="11"/>
  <c r="M16" i="11" s="1"/>
  <c r="K10" i="6"/>
  <c r="M10" i="6" s="1"/>
  <c r="K18" i="6"/>
  <c r="M18" i="6" s="1"/>
  <c r="K23" i="6"/>
  <c r="M23" i="6" s="1"/>
  <c r="K10" i="7"/>
  <c r="M10" i="7" s="1"/>
  <c r="K18" i="7"/>
  <c r="M18" i="7" s="1"/>
  <c r="K23" i="7"/>
  <c r="M23" i="7" s="1"/>
  <c r="K15" i="8"/>
  <c r="M15" i="8" s="1"/>
  <c r="K20" i="8"/>
  <c r="M20" i="8" s="1"/>
  <c r="K5" i="9"/>
  <c r="M5" i="9" s="1"/>
  <c r="K15" i="9"/>
  <c r="M15" i="9" s="1"/>
  <c r="K5" i="10"/>
  <c r="M5" i="10" s="1"/>
  <c r="K17" i="10"/>
  <c r="M17" i="10" s="1"/>
  <c r="K21" i="11"/>
  <c r="M21" i="11" s="1"/>
  <c r="E24" i="9"/>
  <c r="E24" i="8"/>
  <c r="G24" i="11"/>
  <c r="E24" i="6"/>
  <c r="E24" i="7"/>
  <c r="G4" i="9"/>
  <c r="G24" i="10"/>
  <c r="G24" i="8"/>
  <c r="G24" i="7"/>
  <c r="D30" i="4" l="1"/>
  <c r="C39" i="4" s="1"/>
  <c r="E10" i="27"/>
  <c r="E8" i="27"/>
  <c r="A33" i="4"/>
  <c r="A34" i="4"/>
  <c r="E29" i="4"/>
  <c r="E68" i="4" s="1"/>
  <c r="I68" i="4"/>
  <c r="E56" i="4"/>
  <c r="E55" i="4"/>
  <c r="H24" i="18"/>
  <c r="H20" i="4" s="1"/>
  <c r="H59" i="4" s="1"/>
  <c r="H4" i="6"/>
  <c r="H24" i="6" s="1"/>
  <c r="K17" i="25"/>
  <c r="M17" i="25" s="1"/>
  <c r="K22" i="25"/>
  <c r="M22" i="25" s="1"/>
  <c r="I24" i="22"/>
  <c r="I24" i="4" s="1"/>
  <c r="I63" i="4" s="1"/>
  <c r="H4" i="25"/>
  <c r="H24" i="25" s="1"/>
  <c r="H27" i="4" s="1"/>
  <c r="H66" i="4" s="1"/>
  <c r="I24" i="17"/>
  <c r="I19" i="4" s="1"/>
  <c r="I58" i="4" s="1"/>
  <c r="I24" i="16"/>
  <c r="I18" i="4" s="1"/>
  <c r="I57" i="4" s="1"/>
  <c r="K4" i="18"/>
  <c r="M4" i="18" s="1"/>
  <c r="M24" i="18" s="1"/>
  <c r="M20" i="4" s="1"/>
  <c r="I24" i="21"/>
  <c r="I23" i="4" s="1"/>
  <c r="I62" i="4" s="1"/>
  <c r="K6" i="22"/>
  <c r="M6" i="22" s="1"/>
  <c r="K5" i="21"/>
  <c r="M5" i="21" s="1"/>
  <c r="M24" i="21" s="1"/>
  <c r="M23" i="4" s="1"/>
  <c r="I24" i="20"/>
  <c r="I22" i="4" s="1"/>
  <c r="I61" i="4" s="1"/>
  <c r="I24" i="18"/>
  <c r="I20" i="4" s="1"/>
  <c r="I59" i="4" s="1"/>
  <c r="K14" i="23"/>
  <c r="M14" i="23" s="1"/>
  <c r="K7" i="25"/>
  <c r="M7" i="25" s="1"/>
  <c r="K5" i="17"/>
  <c r="M5" i="17" s="1"/>
  <c r="M24" i="17" s="1"/>
  <c r="M19" i="4" s="1"/>
  <c r="G24" i="18"/>
  <c r="G20" i="4" s="1"/>
  <c r="G24" i="15"/>
  <c r="G17" i="4" s="1"/>
  <c r="H4" i="15"/>
  <c r="I4" i="15" s="1"/>
  <c r="I24" i="15" s="1"/>
  <c r="I17" i="4" s="1"/>
  <c r="I56" i="4" s="1"/>
  <c r="G24" i="24"/>
  <c r="G26" i="4" s="1"/>
  <c r="H4" i="24"/>
  <c r="G24" i="25"/>
  <c r="G27" i="4" s="1"/>
  <c r="G24" i="26"/>
  <c r="G28" i="4" s="1"/>
  <c r="H4" i="26"/>
  <c r="I4" i="26" s="1"/>
  <c r="I24" i="26" s="1"/>
  <c r="I28" i="4" s="1"/>
  <c r="I67" i="4" s="1"/>
  <c r="G24" i="19"/>
  <c r="G21" i="4" s="1"/>
  <c r="H4" i="19"/>
  <c r="G6" i="27"/>
  <c r="G29" i="4" s="1"/>
  <c r="H32" i="4" s="1"/>
  <c r="G24" i="23"/>
  <c r="G25" i="4" s="1"/>
  <c r="H4" i="23"/>
  <c r="I4" i="23" s="1"/>
  <c r="I24" i="23" s="1"/>
  <c r="I25" i="4" s="1"/>
  <c r="I64" i="4" s="1"/>
  <c r="M24" i="16"/>
  <c r="M18" i="4" s="1"/>
  <c r="M24" i="20"/>
  <c r="M22" i="4" s="1"/>
  <c r="I24" i="14"/>
  <c r="I16" i="4" s="1"/>
  <c r="I55" i="4" s="1"/>
  <c r="K24" i="16"/>
  <c r="K18" i="4" s="1"/>
  <c r="M24" i="14"/>
  <c r="M16" i="4" s="1"/>
  <c r="K4" i="10"/>
  <c r="M4" i="10" s="1"/>
  <c r="I24" i="10"/>
  <c r="K24" i="14"/>
  <c r="K16" i="4" s="1"/>
  <c r="I24" i="11"/>
  <c r="K24" i="20"/>
  <c r="K22" i="4" s="1"/>
  <c r="M4" i="22"/>
  <c r="I24" i="8"/>
  <c r="I24" i="7"/>
  <c r="K13" i="10"/>
  <c r="M13" i="10" s="1"/>
  <c r="K5" i="8"/>
  <c r="M5" i="8" s="1"/>
  <c r="M24" i="8" s="1"/>
  <c r="K4" i="7"/>
  <c r="M4" i="7" s="1"/>
  <c r="M24" i="7" s="1"/>
  <c r="G24" i="9"/>
  <c r="H4" i="9"/>
  <c r="H24" i="9" s="1"/>
  <c r="M24" i="11"/>
  <c r="K24" i="11"/>
  <c r="G6" i="5"/>
  <c r="H6" i="5" s="1"/>
  <c r="I6" i="5" s="1"/>
  <c r="K6" i="5" s="1"/>
  <c r="M6" i="5" s="1"/>
  <c r="G5" i="5"/>
  <c r="H5" i="5" s="1"/>
  <c r="I5" i="5" s="1"/>
  <c r="K5" i="5" s="1"/>
  <c r="M5" i="5" s="1"/>
  <c r="G4" i="5"/>
  <c r="H4" i="5" s="1"/>
  <c r="I4" i="5" s="1"/>
  <c r="E23" i="5"/>
  <c r="G23" i="5" s="1"/>
  <c r="H23" i="5" s="1"/>
  <c r="I23" i="5" s="1"/>
  <c r="K23" i="5" s="1"/>
  <c r="M23" i="5" s="1"/>
  <c r="E22" i="5"/>
  <c r="G22" i="5" s="1"/>
  <c r="H22" i="5" s="1"/>
  <c r="I22" i="5" s="1"/>
  <c r="K22" i="5" s="1"/>
  <c r="M22" i="5" s="1"/>
  <c r="E21" i="5"/>
  <c r="G21" i="5" s="1"/>
  <c r="H21" i="5" s="1"/>
  <c r="I21" i="5" s="1"/>
  <c r="K21" i="5" s="1"/>
  <c r="M21" i="5" s="1"/>
  <c r="E20" i="5"/>
  <c r="G20" i="5" s="1"/>
  <c r="H20" i="5" s="1"/>
  <c r="I20" i="5" s="1"/>
  <c r="K20" i="5" s="1"/>
  <c r="M20" i="5" s="1"/>
  <c r="E19" i="5"/>
  <c r="G19" i="5" s="1"/>
  <c r="H19" i="5" s="1"/>
  <c r="I19" i="5" s="1"/>
  <c r="K19" i="5" s="1"/>
  <c r="M19" i="5" s="1"/>
  <c r="E18" i="5"/>
  <c r="G18" i="5" s="1"/>
  <c r="H18" i="5" s="1"/>
  <c r="I18" i="5" s="1"/>
  <c r="K18" i="5" s="1"/>
  <c r="M18" i="5" s="1"/>
  <c r="E17" i="5"/>
  <c r="G17" i="5" s="1"/>
  <c r="H17" i="5" s="1"/>
  <c r="I17" i="5" s="1"/>
  <c r="K17" i="5" s="1"/>
  <c r="M17" i="5" s="1"/>
  <c r="E16" i="5"/>
  <c r="G16" i="5" s="1"/>
  <c r="H16" i="5" s="1"/>
  <c r="I16" i="5" s="1"/>
  <c r="K16" i="5" s="1"/>
  <c r="M16" i="5" s="1"/>
  <c r="E15" i="5"/>
  <c r="G15" i="5" s="1"/>
  <c r="H15" i="5" s="1"/>
  <c r="I15" i="5" s="1"/>
  <c r="K15" i="5" s="1"/>
  <c r="M15" i="5" s="1"/>
  <c r="E14" i="5"/>
  <c r="G14" i="5" s="1"/>
  <c r="H14" i="5" s="1"/>
  <c r="I14" i="5" s="1"/>
  <c r="K14" i="5" s="1"/>
  <c r="M14" i="5" s="1"/>
  <c r="E13" i="5"/>
  <c r="G13" i="5" s="1"/>
  <c r="H13" i="5" s="1"/>
  <c r="I13" i="5" s="1"/>
  <c r="K13" i="5" s="1"/>
  <c r="M13" i="5" s="1"/>
  <c r="E12" i="5"/>
  <c r="G12" i="5" s="1"/>
  <c r="H12" i="5" s="1"/>
  <c r="I12" i="5" s="1"/>
  <c r="E11" i="5"/>
  <c r="G11" i="5" s="1"/>
  <c r="H11" i="5" s="1"/>
  <c r="I11" i="5" s="1"/>
  <c r="K11" i="5" s="1"/>
  <c r="M11" i="5" s="1"/>
  <c r="E10" i="5"/>
  <c r="G10" i="5" s="1"/>
  <c r="H10" i="5" s="1"/>
  <c r="I10" i="5" s="1"/>
  <c r="K10" i="5" s="1"/>
  <c r="M10" i="5" s="1"/>
  <c r="E9" i="5"/>
  <c r="G9" i="5" s="1"/>
  <c r="H9" i="5" s="1"/>
  <c r="I9" i="5" s="1"/>
  <c r="K9" i="5" s="1"/>
  <c r="M9" i="5" s="1"/>
  <c r="E8" i="5"/>
  <c r="G8" i="5" s="1"/>
  <c r="H8" i="5" s="1"/>
  <c r="I8" i="5" s="1"/>
  <c r="K8" i="5" s="1"/>
  <c r="M8" i="5" s="1"/>
  <c r="E7" i="5"/>
  <c r="G7" i="5" s="1"/>
  <c r="H7" i="5" s="1"/>
  <c r="I7" i="5" s="1"/>
  <c r="K7" i="5" s="1"/>
  <c r="M7" i="5" s="1"/>
  <c r="C36" i="4" l="1"/>
  <c r="I4" i="6"/>
  <c r="I24" i="6" s="1"/>
  <c r="E30" i="4"/>
  <c r="E39" i="4" s="1"/>
  <c r="K4" i="6"/>
  <c r="M4" i="6" s="1"/>
  <c r="M24" i="6" s="1"/>
  <c r="K24" i="18"/>
  <c r="K20" i="4" s="1"/>
  <c r="I4" i="25"/>
  <c r="K24" i="21"/>
  <c r="K23" i="4" s="1"/>
  <c r="G30" i="4"/>
  <c r="K24" i="17"/>
  <c r="K19" i="4" s="1"/>
  <c r="M24" i="22"/>
  <c r="M24" i="4" s="1"/>
  <c r="K24" i="22"/>
  <c r="K24" i="4" s="1"/>
  <c r="K4" i="23"/>
  <c r="H24" i="23"/>
  <c r="H25" i="4" s="1"/>
  <c r="H64" i="4" s="1"/>
  <c r="I4" i="19"/>
  <c r="I24" i="19" s="1"/>
  <c r="I21" i="4" s="1"/>
  <c r="I60" i="4" s="1"/>
  <c r="H24" i="19"/>
  <c r="H21" i="4" s="1"/>
  <c r="H60" i="4" s="1"/>
  <c r="H24" i="26"/>
  <c r="H28" i="4" s="1"/>
  <c r="H67" i="4" s="1"/>
  <c r="K4" i="26"/>
  <c r="I4" i="24"/>
  <c r="I24" i="24" s="1"/>
  <c r="I26" i="4" s="1"/>
  <c r="I65" i="4" s="1"/>
  <c r="H24" i="24"/>
  <c r="H26" i="4" s="1"/>
  <c r="H65" i="4" s="1"/>
  <c r="K4" i="15"/>
  <c r="H24" i="15"/>
  <c r="H17" i="4" s="1"/>
  <c r="H56" i="4" s="1"/>
  <c r="M24" i="10"/>
  <c r="K12" i="5"/>
  <c r="M12" i="5" s="1"/>
  <c r="K4" i="5"/>
  <c r="M4" i="5" s="1"/>
  <c r="H24" i="5"/>
  <c r="K24" i="7"/>
  <c r="K24" i="10"/>
  <c r="K24" i="8"/>
  <c r="I4" i="9"/>
  <c r="I24" i="5"/>
  <c r="E24" i="5"/>
  <c r="E5" i="4" s="1"/>
  <c r="E36" i="4" l="1"/>
  <c r="A36" i="4" s="1"/>
  <c r="K4" i="24"/>
  <c r="K24" i="24" s="1"/>
  <c r="K26" i="4" s="1"/>
  <c r="K24" i="6"/>
  <c r="K4" i="19"/>
  <c r="K24" i="19" s="1"/>
  <c r="K21" i="4" s="1"/>
  <c r="K4" i="25"/>
  <c r="I24" i="25"/>
  <c r="H30" i="4"/>
  <c r="G39" i="4" s="1"/>
  <c r="M4" i="24"/>
  <c r="M24" i="24" s="1"/>
  <c r="M26" i="4" s="1"/>
  <c r="M4" i="15"/>
  <c r="M24" i="15" s="1"/>
  <c r="M17" i="4" s="1"/>
  <c r="K24" i="15"/>
  <c r="K17" i="4" s="1"/>
  <c r="M4" i="26"/>
  <c r="M24" i="26" s="1"/>
  <c r="M28" i="4" s="1"/>
  <c r="K24" i="26"/>
  <c r="K28" i="4" s="1"/>
  <c r="M4" i="23"/>
  <c r="M24" i="23" s="1"/>
  <c r="M25" i="4" s="1"/>
  <c r="K24" i="23"/>
  <c r="K25" i="4" s="1"/>
  <c r="I24" i="9"/>
  <c r="K4" i="9"/>
  <c r="M4" i="19" l="1"/>
  <c r="M24" i="19" s="1"/>
  <c r="M21" i="4" s="1"/>
  <c r="I27" i="4"/>
  <c r="I66" i="4" s="1"/>
  <c r="M4" i="25"/>
  <c r="M24" i="25" s="1"/>
  <c r="M27" i="4" s="1"/>
  <c r="K24" i="25"/>
  <c r="K27" i="4" s="1"/>
  <c r="K30" i="4" s="1"/>
  <c r="M4" i="9"/>
  <c r="M24" i="9" s="1"/>
  <c r="K24" i="9"/>
  <c r="I13" i="4"/>
  <c r="I11" i="4"/>
  <c r="I10" i="4"/>
  <c r="I9" i="4"/>
  <c r="I8" i="4"/>
  <c r="I6" i="4"/>
  <c r="I5" i="4"/>
  <c r="M30" i="4" l="1"/>
  <c r="I30" i="4"/>
  <c r="I12" i="4"/>
  <c r="A39" i="4" l="1"/>
  <c r="I39" i="4"/>
  <c r="I14" i="4"/>
  <c r="I31" i="4" l="1"/>
  <c r="L13" i="4"/>
  <c r="J13" i="4"/>
  <c r="H13" i="4"/>
  <c r="F13" i="4"/>
  <c r="E13" i="4"/>
  <c r="D13" i="4"/>
  <c r="L11" i="4"/>
  <c r="J11" i="4"/>
  <c r="H11" i="4"/>
  <c r="F11" i="4"/>
  <c r="E11" i="4"/>
  <c r="D11" i="4"/>
  <c r="L10" i="4"/>
  <c r="J10" i="4"/>
  <c r="H10" i="4"/>
  <c r="F10" i="4"/>
  <c r="E10" i="4"/>
  <c r="D10" i="4"/>
  <c r="L9" i="4"/>
  <c r="J9" i="4"/>
  <c r="H9" i="4"/>
  <c r="F9" i="4"/>
  <c r="E9" i="4"/>
  <c r="D9" i="4"/>
  <c r="L8" i="4"/>
  <c r="J8" i="4"/>
  <c r="H8" i="4"/>
  <c r="F8" i="4"/>
  <c r="E8" i="4"/>
  <c r="D8" i="4"/>
  <c r="L6" i="4"/>
  <c r="J6" i="4"/>
  <c r="H6" i="4"/>
  <c r="F6" i="4"/>
  <c r="E6" i="4"/>
  <c r="D6" i="4"/>
  <c r="I49" i="4" l="1"/>
  <c r="I51" i="4"/>
  <c r="I53" i="4"/>
  <c r="H51" i="4"/>
  <c r="H53" i="4"/>
  <c r="H52" i="4"/>
  <c r="I54" i="4"/>
  <c r="I50" i="4"/>
  <c r="H54" i="4"/>
  <c r="H50" i="4"/>
  <c r="H49" i="4"/>
  <c r="I52" i="4"/>
  <c r="E52" i="4"/>
  <c r="L12" i="4"/>
  <c r="E49" i="4"/>
  <c r="G9" i="4"/>
  <c r="E54" i="4"/>
  <c r="E50" i="4"/>
  <c r="E51" i="4"/>
  <c r="E53" i="4"/>
  <c r="G8" i="4"/>
  <c r="K6" i="4"/>
  <c r="K9" i="4"/>
  <c r="G13" i="4"/>
  <c r="G6" i="4"/>
  <c r="G11" i="4"/>
  <c r="K13" i="4"/>
  <c r="K8" i="4"/>
  <c r="K10" i="4"/>
  <c r="G10" i="4"/>
  <c r="M13" i="4"/>
  <c r="M11" i="4"/>
  <c r="K11" i="4"/>
  <c r="M10" i="4"/>
  <c r="M9" i="4"/>
  <c r="M8" i="4"/>
  <c r="M6" i="4"/>
  <c r="G12" i="4" l="1"/>
  <c r="M12" i="4"/>
  <c r="M24" i="5" l="1"/>
  <c r="M5" i="4" s="1"/>
  <c r="M14" i="4" s="1"/>
  <c r="K24" i="5"/>
  <c r="K5" i="4" s="1"/>
  <c r="G24" i="5"/>
  <c r="G5" i="4" s="1"/>
  <c r="G14" i="4" s="1"/>
  <c r="L24" i="5"/>
  <c r="L5" i="4" s="1"/>
  <c r="L14" i="4" s="1"/>
  <c r="J24" i="5"/>
  <c r="J5" i="4" s="1"/>
  <c r="H5" i="4"/>
  <c r="F24" i="5"/>
  <c r="F5" i="4" s="1"/>
  <c r="D24" i="5"/>
  <c r="D5" i="4" s="1"/>
  <c r="K12" i="4"/>
  <c r="J12" i="4"/>
  <c r="H12" i="4"/>
  <c r="F12" i="4"/>
  <c r="E12" i="4"/>
  <c r="D12" i="4"/>
  <c r="A37" i="4" l="1"/>
  <c r="I48" i="4"/>
  <c r="H48" i="4"/>
  <c r="L31" i="4"/>
  <c r="G31" i="4"/>
  <c r="M31" i="4"/>
  <c r="K14" i="4"/>
  <c r="D14" i="4"/>
  <c r="C38" i="4" s="1"/>
  <c r="F14" i="4"/>
  <c r="I38" i="4" s="1"/>
  <c r="J14" i="4"/>
  <c r="E14" i="4"/>
  <c r="E38" i="4" s="1"/>
  <c r="H14" i="4"/>
  <c r="E48" i="4"/>
  <c r="G38" i="4" l="1"/>
  <c r="C35" i="4"/>
  <c r="E35" i="4"/>
  <c r="H31" i="4"/>
  <c r="E31" i="4"/>
  <c r="I70" i="4"/>
  <c r="I69" i="4"/>
  <c r="E70" i="4"/>
  <c r="E69" i="4"/>
  <c r="H70" i="4"/>
  <c r="H69" i="4"/>
  <c r="F31" i="4"/>
  <c r="D31" i="4"/>
  <c r="J31" i="4"/>
  <c r="K31" i="4"/>
  <c r="E40" i="4" l="1"/>
  <c r="G40" i="4"/>
  <c r="I40" i="4"/>
  <c r="A35" i="4"/>
  <c r="A38" i="4"/>
  <c r="C44" i="4" l="1"/>
  <c r="A40" i="4"/>
  <c r="C2" i="4"/>
</calcChain>
</file>

<file path=xl/sharedStrings.xml><?xml version="1.0" encoding="utf-8"?>
<sst xmlns="http://schemas.openxmlformats.org/spreadsheetml/2006/main" count="1178" uniqueCount="223">
  <si>
    <t>V 1.0, Published January 2025 by the Center for IDEA Fiscal Reporting (CIFR)</t>
  </si>
  <si>
    <t xml:space="preserve">For questions about using the IDEA Part B State Set-Aside Calculator, contact cifr_info@wested.org. </t>
  </si>
  <si>
    <t>This document was developed under a grant from the U.S. Department of Education #H373F200001. Project Officer: Charles Kniseley.  It is not intended to be a replacement for the IDEA statute, regulations, and other guidance issued by OSEP and the U.S. Department of Education. IDEA and its regulations are found at https://sites.ed.gov/idea. This document does not necessarily represent the policy of the U.S. Department of Education, and you should not assume endorsement by the Federal Government.</t>
  </si>
  <si>
    <t>Please note that this product is not fully 508 compliant. For assistance, contact CIFR at:</t>
  </si>
  <si>
    <t xml:space="preserve">https://cifr.wested.org/contact/ </t>
  </si>
  <si>
    <t>End of worksheet</t>
  </si>
  <si>
    <t>Table of Contents</t>
  </si>
  <si>
    <t>Tab</t>
  </si>
  <si>
    <t>Description</t>
  </si>
  <si>
    <t>Getting Started</t>
  </si>
  <si>
    <t>Worksheet for entering background information for your state's IDEA Part B grant. You will copy some information from your Interactive Spreadsheet.</t>
  </si>
  <si>
    <t>State Set-Aside Overview</t>
  </si>
  <si>
    <t>Summary worksheet displaying auto-populated totals for funds budgeted for Administration and for Other State-Level Activities</t>
  </si>
  <si>
    <t>Administration</t>
  </si>
  <si>
    <t>a. Part B Administration</t>
  </si>
  <si>
    <t>Worksheet for entering budget and expenditures for Part B Administration</t>
  </si>
  <si>
    <t>b. Part C Administration</t>
  </si>
  <si>
    <t>Worksheet for entering budget and expenditures for Part C Administration</t>
  </si>
  <si>
    <t>c. Support and Direct Services</t>
  </si>
  <si>
    <t>Worksheet for entering budget and expenditures for support and direct services, including technical assistance, personnel preparation, and professional development and training (paid from Administration funds)</t>
  </si>
  <si>
    <t>d. PBIS and Mental Health</t>
  </si>
  <si>
    <t>Worksheet for entering budget and expenditures from Administration funds to assist LEAs in providing positive behavioral interventions and supports (PBIS) and appropriate mental health services for children with disabilities (paid from Administration funds)</t>
  </si>
  <si>
    <t>e. Personnel Shortages</t>
  </si>
  <si>
    <t>Worksheet for entering budget and expenditures from Administration funds to assist LEAs in meeting personnel shortages (paid from Administration funds)</t>
  </si>
  <si>
    <t>f. Capacity Building</t>
  </si>
  <si>
    <t>Worksheet for entering budget and expenditures from Administration funds to support capacity building activities and improve the delivery of services by local educational agencies to improve results for children with disabilities (paid from Administration funds)</t>
  </si>
  <si>
    <t>g. Joint Part C Policy</t>
  </si>
  <si>
    <t>Worksheet for entering budget and expenditures to develop and implement a state policy jointly with the state lead agency under Part C and the SEA to provide early intervention services in accordance with Part C to children with disabilities who are eligible for services under the Preschool Grant program and who previously received services under Part C until such children enter, or are eligible under state law to enter, kindergarten or elementary school as appropriate</t>
  </si>
  <si>
    <t>Other State-Level Activities</t>
  </si>
  <si>
    <t>h. Monitoring and Enforcement</t>
  </si>
  <si>
    <t>Worksheet for entering budget and expenditures for monitoring, enforcement, and complaint investigation. States that reserve funds for Other State-Level Activities must reserve a portion of funds for monitoring and enforcement.</t>
  </si>
  <si>
    <t>i. Mediation Process</t>
  </si>
  <si>
    <t>Worksheet for entering budget and expenditures to establish and implement the mediation process. States that reserve funds for Other State-Level Activities must reserve a portion of funds for the mediation process.</t>
  </si>
  <si>
    <t>j. Support and Direct Services</t>
  </si>
  <si>
    <t>Worksheet for entering budget and expenditures for support and direct services, including technical assistance, personnel preparation, and professional development and training (paid from Other State-Level Activities funds)</t>
  </si>
  <si>
    <t>k. PBIS and Mental Health</t>
  </si>
  <si>
    <t>Worksheet for entering budget and expenditures to assist LEAs in providing positive behavioral interventions and supports (PBIS) and appropriate mental health services for children with disabilities (paid from Other State-Level Activities funds)</t>
  </si>
  <si>
    <t>l. Personnel Shortages</t>
  </si>
  <si>
    <t>Worksheet for entering budget and expenditures to assist LEAs in meeting personnel shortages (paid from Other State-Level Activities funds)</t>
  </si>
  <si>
    <t>m. Capacity Building</t>
  </si>
  <si>
    <t>Worksheet for entering budget and expenditures to support capacity building activities and improve the delivery of services by local educational agencies to improve results for children with disabilities (paid from Other State-Level Activities funds)</t>
  </si>
  <si>
    <t>n. Paperwork Reduction</t>
  </si>
  <si>
    <t>Worksheet for entering budget and expenditures to support paperwork reduction activities, including expanding the use of technology in the IEP process</t>
  </si>
  <si>
    <t>o. Improve Tech Use in Class</t>
  </si>
  <si>
    <t>Worksheet for entering budget and expenditures to improve the use of technology in the classroom by children with disabilities to enhance learning</t>
  </si>
  <si>
    <t>p. Technology for Access</t>
  </si>
  <si>
    <t>Worksheet for entering budget and expenditures to support the use of technology to maximize accessibility to the general education curriculum for children with disabilities</t>
  </si>
  <si>
    <t>q. Transition Programs</t>
  </si>
  <si>
    <t>Worksheet for entering budget and expenditures for development and implementation of transition programs</t>
  </si>
  <si>
    <t>r. Alternative Programming</t>
  </si>
  <si>
    <t>Worksheet for entering budget and expenditures for alternative programming for children with disabilities who have been expelled from school, and services for children with disabilities in correctional facilities, state-operated or state-supported schools, and charter schools</t>
  </si>
  <si>
    <t>s. Accom and Alt Assessments</t>
  </si>
  <si>
    <t>Worksheet for entering budget and expenditures to support development and provision of appropriate accommodations for children with disabilities or of alternate assessments that are valid and reliable for assessing the performance of children with disabilities</t>
  </si>
  <si>
    <t>t. TA for Acad Achievement</t>
  </si>
  <si>
    <t>Worksheet for entering budget and expenditures for technical assistance and direct services to schools or LEAs implementing support and improvement activities because of consistent underperformance of the disaggregated subgroup of children with disabilities</t>
  </si>
  <si>
    <t>u-v. High Cost Fund</t>
  </si>
  <si>
    <t>Worksheet for entering budget and expenditures for the high cost fund (LEA risk pool). States that reserve funds for the high cost fund must reserve at least 10% of Other State-Level Activities funds for this.</t>
  </si>
  <si>
    <t>Navigation Menu</t>
  </si>
  <si>
    <t>Enter the information below about the IDEA Part B grant you want to enter in this calculator.</t>
  </si>
  <si>
    <t>State</t>
  </si>
  <si>
    <t>Missouri</t>
  </si>
  <si>
    <t>Select your state from the dropdown list.</t>
  </si>
  <si>
    <t>Grant Award Federal Fiscal Year</t>
  </si>
  <si>
    <t>Enter as a four digit number.</t>
  </si>
  <si>
    <t>Total grant amount</t>
  </si>
  <si>
    <t>Copy and 'paste values' from Grants to States Summary Table column B or Interactive Spreadsheet cell I5.</t>
  </si>
  <si>
    <t xml:space="preserve">Administration </t>
  </si>
  <si>
    <t>Maximum available for Administration</t>
  </si>
  <si>
    <t>Copy and 'paste values' from Grants to States Summary Table column D or Interactive Spreadsheet cell I9.</t>
  </si>
  <si>
    <t>Amount set aside for Administration</t>
  </si>
  <si>
    <t>Enter the amount you would like to set aside for Administration. If you have already completed the Interactive Spreadsheet, copy and 'paste values' from cell I11.</t>
  </si>
  <si>
    <t>Maximum Administration amount available for Other State-Level Activities</t>
  </si>
  <si>
    <t>Auto-calculated. This number is calculated based on the amount set aside for Administration entered in cell D6 and increases due to inflation since 2004. It should match cell B32 in the Interactive Spreadsheet.</t>
  </si>
  <si>
    <t>Is the SEA also the lead agency for Part C?</t>
  </si>
  <si>
    <t>No</t>
  </si>
  <si>
    <t xml:space="preserve">Select response from drop-down. </t>
  </si>
  <si>
    <t>Does your state receive a Preschool Grant under 20 USC §1419?</t>
  </si>
  <si>
    <t>Yes</t>
  </si>
  <si>
    <t>Do you wish to use funds for a High Cost Fund?</t>
  </si>
  <si>
    <t>Select response from drop-down. Ensure that cell H91 on the Interactive Spreadsheet matches the value here.</t>
  </si>
  <si>
    <t>Maximum amount for Other State-Level Activities</t>
  </si>
  <si>
    <t>Amount set aside for Other State-Level Activities</t>
  </si>
  <si>
    <t>Enter the amount you would like to set aside for Other State-Level Activities. If you have already completed the Interactive Spreadsheet, copy and 'paste values' from cell I98.</t>
  </si>
  <si>
    <t>Total amount set aside</t>
  </si>
  <si>
    <t>Auto-calculated. The total amount set aside for Administration and Other State-Level Activities.</t>
  </si>
  <si>
    <t>Are you revising your application budget?</t>
  </si>
  <si>
    <t>Select "Yes" if you are revising or have revised your budget for the Budget Period.</t>
  </si>
  <si>
    <t>Are you preparing a budget for the Tydings Period?</t>
  </si>
  <si>
    <t>Select "Yes" if you are preparing or have prepared a budget for the Tydings Period.</t>
  </si>
  <si>
    <t>Are you revising your Tydings Period budget?</t>
  </si>
  <si>
    <t>Select "Yes" if you are revising or have revised your budget for the Tydings Period.</t>
  </si>
  <si>
    <r>
      <rPr>
        <b/>
        <sz val="11"/>
        <color theme="1"/>
        <rFont val="Calibri"/>
        <family val="2"/>
        <scheme val="minor"/>
      </rPr>
      <t>Note:</t>
    </r>
    <r>
      <rPr>
        <sz val="11"/>
        <color theme="1"/>
        <rFont val="Calibri"/>
        <family val="2"/>
        <scheme val="minor"/>
      </rPr>
      <t xml:space="preserve"> If you resubmit your original budget to OSEP for variance approvals, be sure to create a copy of the calculator and re-do the application budget </t>
    </r>
  </si>
  <si>
    <t>columns to reflect the approved changes.</t>
  </si>
  <si>
    <t>Value</t>
  </si>
  <si>
    <t>Alabama</t>
  </si>
  <si>
    <t>Alaska</t>
  </si>
  <si>
    <t>Arizona</t>
  </si>
  <si>
    <t>Arkansas</t>
  </si>
  <si>
    <t>California</t>
  </si>
  <si>
    <t>Colorado</t>
  </si>
  <si>
    <t>Connecticut</t>
  </si>
  <si>
    <t>Delaware</t>
  </si>
  <si>
    <t>District of Columbia</t>
  </si>
  <si>
    <t>Florida</t>
  </si>
  <si>
    <t>Georgia</t>
  </si>
  <si>
    <t>Hawaii</t>
  </si>
  <si>
    <t>Idaho</t>
  </si>
  <si>
    <t>Illinois</t>
  </si>
  <si>
    <t>Indiana</t>
  </si>
  <si>
    <t>Iowa</t>
  </si>
  <si>
    <t>Kansas</t>
  </si>
  <si>
    <t>Kentucky</t>
  </si>
  <si>
    <t>Louisiana</t>
  </si>
  <si>
    <t>Maine</t>
  </si>
  <si>
    <t>Maryland</t>
  </si>
  <si>
    <t>Massachusetts</t>
  </si>
  <si>
    <t>Michigan</t>
  </si>
  <si>
    <t>Minnesota</t>
  </si>
  <si>
    <t>Mississippi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</si>
  <si>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</si>
  <si>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</si>
  <si>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</si>
  <si>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</si>
  <si>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</si>
  <si>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</si>
  <si>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</si>
  <si>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</si>
  <si>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</si>
  <si>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</si>
  <si>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</si>
  <si>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</si>
  <si>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</si>
  <si>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</si>
  <si>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</si>
  <si>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</si>
  <si>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</si>
  <si>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</si>
  <si>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</si>
  <si>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</si>
  <si>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</si>
  <si>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</si>
  <si>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</si>
  <si>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</si>
  <si>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</si>
  <si>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Puerto Rico</t>
  </si>
  <si>
    <t>Virgin Islands</t>
  </si>
  <si>
    <t>Guam</t>
  </si>
  <si>
    <t>Northern Mariana Islands</t>
  </si>
  <si>
    <t>American Samoa</t>
  </si>
  <si>
    <t>Freely Associated States</t>
  </si>
  <si>
    <t>Department of the Interior</t>
  </si>
  <si>
    <t>Cost category</t>
  </si>
  <si>
    <t>Application budget</t>
  </si>
  <si>
    <t>Revised budget (Budget Period)</t>
  </si>
  <si>
    <t>Expenditures during Budget Period</t>
  </si>
  <si>
    <t>Unexpended funds after Budget Period</t>
  </si>
  <si>
    <t>Tydings Period budget</t>
  </si>
  <si>
    <t>Revised budget (Tydings Period)</t>
  </si>
  <si>
    <t>Expenditures during Tydings Period</t>
  </si>
  <si>
    <t>Unexpended funds after Tydings Period</t>
  </si>
  <si>
    <t>Expenditures during Liquidation Period that were obligated before end of Tydings Period</t>
  </si>
  <si>
    <t>Unexpended funds after Liquidation Period</t>
  </si>
  <si>
    <t>Other State-Level Activities Paid From Admin Funds</t>
  </si>
  <si>
    <t>d. PBIS and Mental Health Services</t>
  </si>
  <si>
    <t>e. Assist LEAs in Meeting Personnel Shortages</t>
  </si>
  <si>
    <t>f. Capacity Building Activities</t>
  </si>
  <si>
    <t>Sub-total for Other State-Level Activities Paid From Admin Funds</t>
  </si>
  <si>
    <t>Total for Administration</t>
  </si>
  <si>
    <t xml:space="preserve">Other State-Level Activities </t>
  </si>
  <si>
    <t>k. PBIS and Mental Health Services</t>
  </si>
  <si>
    <t>l. Assist LEAs in Meeting Personnel Shortages</t>
  </si>
  <si>
    <t>s. Appropriate Accommodations</t>
  </si>
  <si>
    <t>Total for Other State-Level Activities</t>
  </si>
  <si>
    <t>Overall Total for State Set-Aside</t>
  </si>
  <si>
    <t>Error message warning?</t>
  </si>
  <si>
    <t>Yellow cells will be hidden in final version.</t>
  </si>
  <si>
    <t>Positive changes</t>
  </si>
  <si>
    <t>Negative changes</t>
  </si>
  <si>
    <t>Part B Administration</t>
  </si>
  <si>
    <t>Budget item</t>
  </si>
  <si>
    <t>Personnel</t>
  </si>
  <si>
    <t>Professional Development</t>
  </si>
  <si>
    <t>Supplies/Materials</t>
  </si>
  <si>
    <t>Total</t>
  </si>
  <si>
    <t>Support and Direct Services, Including Technical Assistance, Personnel Preparation, and Professional Development and Training (Paid From Administration Funds)</t>
  </si>
  <si>
    <t>Assistance to LEAs in Providing Positive Behavioral Interventions and Supports and Appropriate Mental Health Services (Paid From Administration Funds)</t>
  </si>
  <si>
    <t>Assistance to LEAs in Meeting Personnel Shortages (Paid From Administration Funds)</t>
  </si>
  <si>
    <t>Support for Capacity Building Activities and Improving the Delivery of Services by LEAs to Improve Results for Children With Disabilities (Paid From Administration Funds)</t>
  </si>
  <si>
    <t>Monitoring, Enforcement, and Complaint Investigation</t>
  </si>
  <si>
    <t>Complaint Investigators</t>
  </si>
  <si>
    <t>Trainings</t>
  </si>
  <si>
    <t>Supples/Materials</t>
  </si>
  <si>
    <t>FLAG: You must reserve at least $1 for monitoring and enforcement.</t>
  </si>
  <si>
    <t>Establishment and Implementation of the Mediation Process</t>
  </si>
  <si>
    <t>Services</t>
  </si>
  <si>
    <t>Support and Direct Services, Including Technical Assistance, Personnel Preparation, and Professional Development and Training</t>
  </si>
  <si>
    <t>Technical Assistance</t>
  </si>
  <si>
    <t>Conference Attendance</t>
  </si>
  <si>
    <t>Assistance to LEAs in Providing Positive Behavioral Interventions and Supports and Appropriate Mental Health Services for Children With Disabilities</t>
  </si>
  <si>
    <t>Assistance to LEAs in Meeting Personnel Shortages</t>
  </si>
  <si>
    <t>Support for Capacity Building Activities and Improving the Delivery of Services by LEAs to Improve Results for Children With Disabilities</t>
  </si>
  <si>
    <t xml:space="preserve">Professional Development </t>
  </si>
  <si>
    <t>Support for Paperwork Reduction Activities, Including Expanding the Use of Technology in the IEP Process</t>
  </si>
  <si>
    <t xml:space="preserve">Subscriptions </t>
  </si>
  <si>
    <t>Improvement of the Use of Technology in the Classroom by Children With Disabilities to Enhance Learning</t>
  </si>
  <si>
    <t>Support for the Use of Technology to Maximize Accessibility to the General Education Curriculum for Children With Disabilities</t>
  </si>
  <si>
    <t>Development and Implementation of Transition Programs</t>
  </si>
  <si>
    <t xml:space="preserve">Services </t>
  </si>
  <si>
    <t xml:space="preserve">Supplies/Materials </t>
  </si>
  <si>
    <t>Alternative Programming and Services for Children With Disabilities in Correctional Facilities, State-Operated or State-Supported Schools, and Charter Schools</t>
  </si>
  <si>
    <t>State Schools</t>
  </si>
  <si>
    <t>DOC</t>
  </si>
  <si>
    <t>Development and Provision of Appropriate Accommodations or Alternate Assessments</t>
  </si>
  <si>
    <t>TA and Direct Services to Schools or LEAs Implementing Support and Improvement Activities Because of Consistent Underperformance of the Disaggregated Subgroup of Children With Disabilities</t>
  </si>
  <si>
    <t>Note: Funds reserved for this use but not expended must be allocated to LEAs in the same manner as other funds from the IDEA appropriation during the final year of availability (i.e., Tydings Period). See 34 CFR §300.704(c)(9).</t>
  </si>
  <si>
    <t>Establishment of and disbursements from the high cost fund to local educational agencies in accordance during the first and succeeding fiscal years of the high cost fund</t>
  </si>
  <si>
    <t>Support for innovative and effective ways of cost sharing by the state, by an LEA, or among a consortium of LEAs, as determined by the state in coordination with representatives from LEAs</t>
  </si>
  <si>
    <t>Sample State</t>
  </si>
  <si>
    <r>
      <t xml:space="preserve">IDEA Part B State Set-Aside Calculator: Section 611
</t>
    </r>
    <r>
      <rPr>
        <sz val="20"/>
        <color rgb="FFFF0000"/>
        <rFont val="Calibri"/>
        <family val="2"/>
        <scheme val="minor"/>
      </rPr>
      <t>SAMPLE: Hypothetical SEA</t>
    </r>
  </si>
  <si>
    <r>
      <t xml:space="preserve">Suggested Citation: Center for IDEA Fiscal Reporting. (2025). </t>
    </r>
    <r>
      <rPr>
        <i/>
        <sz val="10"/>
        <rFont val="Calibri"/>
        <family val="2"/>
        <scheme val="minor"/>
      </rPr>
      <t xml:space="preserve">IDEA Part B state set-aside calculator: Section 611. </t>
    </r>
    <r>
      <rPr>
        <sz val="10"/>
        <rFont val="Calibri"/>
        <family val="2"/>
        <scheme val="minor"/>
      </rPr>
      <t>WestEd.</t>
    </r>
  </si>
  <si>
    <t>The Center for IDEA Fiscal Reporting makes the IDEA Part B State Set-Aside Calculator: Section 611 available to state educational agencies (SEAs) for independent use, general guidance, and estimates only. The Set-Aside Calculator is not intended to replace professional guidance, or any other decision-making method or tool. SEAs and any other end users are responsible for determining their own legal, regulatory, contractual or other responsibilities, and ensuring that their calculations and reporting are correct.  </t>
  </si>
  <si>
    <t xml:space="preserve">Version 1.0, January 2025. </t>
  </si>
  <si>
    <t>Version 1.0, 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</si>
</sst>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0_);_(&quot;$&quot;* \(#,##0\);_(&quot;$&quot;* &quot;-&quot;_);_(@_)"/>
    <numFmt numFmtId="44" formatCode="_(&quot;$&quot;* #,##0.00_);_(&quot;$&quot;* \(#,##0.00\);_(&quot;$&quot;* &quot;-&quot;??_);_(@_)"/>
  </numFmts>
  <fonts count="29"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Calibri"/>
      <family val="2"/>
      <scheme val="minor"/>
    </font>
    <font>
      <b/>
      <sz val="14"/>
      <color theme="1"/>
      <name val="Calibri"/>
      <family val="2"/>
      <scheme val="minor"/>
    </font>
    <font>
      <u/>
      <sz val="11"/>
      <color theme="10"/>
      <name val="Calibri"/>
      <family val="2"/>
      <scheme val="minor"/>
    </font>
    <font>
      <sz val="8"/>
      <color theme="1"/>
      <name val="Calibri"/>
      <family val="2"/>
      <scheme val="minor"/>
    </font>
    <font>
      <sz val="10"/>
      <color theme="1"/>
      <name val="Calibri"/>
      <family val="2"/>
      <scheme val="minor"/>
    </font>
    <font>
      <sz val="11"/>
      <name val="Calibri"/>
      <family val="2"/>
      <scheme val="minor"/>
    </font>
    <font>
      <b/>
      <sz val="11"/>
      <name val="Calibri"/>
      <family val="2"/>
      <scheme val="minor"/>
    </font>
    <font>
      <b/>
      <sz val="11"/>
      <color rgb="FFFF0000"/>
      <name val="Calibri"/>
      <family val="2"/>
      <scheme val="minor"/>
    </font>
    <font>
      <b/>
      <sz val="12"/>
      <color rgb="FFFF0000"/>
      <name val="Calibri"/>
      <family val="2"/>
      <scheme val="minor"/>
    </font>
    <font>
      <sz val="8"/>
      <name val="Calibri"/>
      <family val="2"/>
      <scheme val="minor"/>
    </font>
    <font>
      <sz val="11"/>
      <color rgb="FFFF0000"/>
      <name val="Calibri"/>
      <family val="2"/>
      <scheme val="minor"/>
    </font>
    <font>
      <b/>
      <sz val="20"/>
      <color theme="1"/>
      <name val="Calibri"/>
      <family val="2"/>
      <scheme val="minor"/>
    </font>
    <font>
      <sz val="10"/>
      <name val="Arial"/>
      <family val="2"/>
    </font>
    <font>
      <sz val="10"/>
      <name val="Calibri"/>
      <family val="2"/>
      <scheme val="minor"/>
    </font>
    <font>
      <i/>
      <sz val="10"/>
      <name val="Calibri"/>
      <family val="2"/>
      <scheme val="minor"/>
    </font>
    <font>
      <b/>
      <sz val="11"/>
      <color theme="0"/>
      <name val="Calibri"/>
      <family val="2"/>
      <scheme val="minor"/>
    </font>
    <font>
      <b/>
      <u/>
      <sz val="11"/>
      <color theme="10"/>
      <name val="Calibri"/>
      <family val="2"/>
      <scheme val="minor"/>
    </font>
    <font>
      <u/>
      <sz val="11"/>
      <color theme="0"/>
      <name val="Calibri"/>
      <family val="2"/>
      <scheme val="minor"/>
    </font>
    <font>
      <sz val="12"/>
      <color theme="1"/>
      <name val="Calibri"/>
      <family val="2"/>
      <scheme val="minor"/>
    </font>
    <font>
      <b/>
      <sz val="10"/>
      <color theme="1"/>
      <name val="Calibri"/>
      <family val="2"/>
      <scheme val="minor"/>
    </font>
    <font>
      <i/>
      <sz val="9"/>
      <color theme="1"/>
      <name val="Aptos"/>
      <family val="2"/>
    </font>
    <font>
      <sz val="11"/>
      <color theme="0"/>
      <name val="Calibri"/>
      <family val="2"/>
      <scheme val="minor"/>
    </font>
    <font>
      <i/>
      <sz val="9"/>
      <color rgb="FF000000"/>
      <name val="Calibri"/>
      <family val="2"/>
      <scheme val="minor"/>
    </font>
    <font>
      <u/>
      <sz val="12"/>
      <color theme="10"/>
      <name val="Calibri"/>
      <family val="2"/>
      <scheme val="minor"/>
    </font>
    <font>
      <sz val="12"/>
      <color rgb="FFFF0000"/>
      <name val="Calibri"/>
      <family val="2"/>
      <scheme val="minor"/>
    </font>
    <font>
      <sz val="20"/>
      <color rgb="FFFF0000"/>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4" tint="-0.249977111117893"/>
        <bgColor indexed="64"/>
      </patternFill>
    </fill>
    <fill>
      <patternFill patternType="solid">
        <fgColor theme="0" tint="-0.249977111117893"/>
        <bgColor indexed="64"/>
      </patternFill>
    </fill>
  </fills>
  <borders count="42">
    <border>
      <left/>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thin">
        <color auto="1"/>
      </bottom>
      <diagonal/>
    </border>
    <border>
      <left style="thick">
        <color auto="1"/>
      </left>
      <right style="thin">
        <color auto="1"/>
      </right>
      <top style="thin">
        <color auto="1"/>
      </top>
      <bottom/>
      <diagonal/>
    </border>
    <border>
      <left style="thick">
        <color auto="1"/>
      </left>
      <right style="thin">
        <color auto="1"/>
      </right>
      <top style="medium">
        <color auto="1"/>
      </top>
      <bottom style="thin">
        <color auto="1"/>
      </bottom>
      <diagonal/>
    </border>
    <border>
      <left style="thin">
        <color auto="1"/>
      </left>
      <right style="thick">
        <color auto="1"/>
      </right>
      <top style="thin">
        <color auto="1"/>
      </top>
      <bottom style="thin">
        <color auto="1"/>
      </bottom>
      <diagonal/>
    </border>
    <border>
      <left style="thin">
        <color auto="1"/>
      </left>
      <right style="thin">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n">
        <color auto="1"/>
      </left>
      <right style="thick">
        <color auto="1"/>
      </right>
      <top style="thin">
        <color auto="1"/>
      </top>
      <bottom/>
      <diagonal/>
    </border>
    <border>
      <left style="thin">
        <color auto="1"/>
      </left>
      <right style="thick">
        <color auto="1"/>
      </right>
      <top style="medium">
        <color auto="1"/>
      </top>
      <bottom style="thin">
        <color auto="1"/>
      </bottom>
      <diagonal/>
    </border>
    <border>
      <left style="thin">
        <color auto="1"/>
      </left>
      <right style="thick">
        <color auto="1"/>
      </right>
      <top style="thin">
        <color auto="1"/>
      </top>
      <bottom style="medium">
        <color auto="1"/>
      </bottom>
      <diagonal/>
    </border>
    <border>
      <left style="thick">
        <color auto="1"/>
      </left>
      <right/>
      <top/>
      <bottom/>
      <diagonal/>
    </border>
    <border>
      <left/>
      <right/>
      <top style="thin">
        <color auto="1"/>
      </top>
      <bottom style="thin">
        <color auto="1"/>
      </bottom>
      <diagonal/>
    </border>
    <border>
      <left style="thin">
        <color theme="0"/>
      </left>
      <right style="thin">
        <color theme="0"/>
      </right>
      <top style="thin">
        <color theme="0"/>
      </top>
      <bottom style="thin">
        <color theme="0"/>
      </bottom>
      <diagonal/>
    </border>
    <border>
      <left style="thin">
        <color auto="1"/>
      </left>
      <right style="medium">
        <color auto="1"/>
      </right>
      <top style="thin">
        <color auto="1"/>
      </top>
      <bottom style="thin">
        <color auto="1"/>
      </bottom>
      <diagonal/>
    </border>
    <border>
      <left/>
      <right/>
      <top style="thin">
        <color auto="1"/>
      </top>
      <bottom style="thick">
        <color auto="1"/>
      </bottom>
      <diagonal/>
    </border>
    <border>
      <left/>
      <right style="thin">
        <color auto="1"/>
      </right>
      <top/>
      <bottom style="thin">
        <color auto="1"/>
      </bottom>
      <diagonal/>
    </border>
    <border>
      <left style="thin">
        <color auto="1"/>
      </left>
      <right style="medium">
        <color auto="1"/>
      </right>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medium">
        <color auto="1"/>
      </right>
      <top style="thin">
        <color auto="1"/>
      </top>
      <bottom style="thick">
        <color auto="1"/>
      </bottom>
      <diagonal/>
    </border>
    <border>
      <left/>
      <right style="thin">
        <color auto="1"/>
      </right>
      <top/>
      <bottom/>
      <diagonal/>
    </border>
    <border>
      <left style="thick">
        <color auto="1"/>
      </left>
      <right style="thin">
        <color auto="1"/>
      </right>
      <top/>
      <bottom/>
      <diagonal/>
    </border>
    <border>
      <left style="thin">
        <color auto="1"/>
      </left>
      <right style="thin">
        <color auto="1"/>
      </right>
      <top/>
      <bottom/>
      <diagonal/>
    </border>
    <border>
      <left style="thin">
        <color auto="1"/>
      </left>
      <right/>
      <top/>
      <bottom/>
      <diagonal/>
    </border>
    <border>
      <left style="thin">
        <color auto="1"/>
      </left>
      <right style="medium">
        <color auto="1"/>
      </right>
      <top/>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s>
  <cellStyleXfs count="8">
    <xf numFmtId="0" fontId="0" fillId="0" borderId="0"/>
    <xf numFmtId="44" fontId="3" fillId="0" borderId="0" applyFont="0" applyFill="0" applyBorder="0" applyAlignment="0" applyProtection="0"/>
    <xf numFmtId="0" fontId="5" fillId="0" borderId="0" applyNumberFormat="0" applyFill="0" applyBorder="0" applyAlignment="0" applyProtection="0"/>
    <xf numFmtId="0" fontId="3" fillId="0" borderId="0"/>
    <xf numFmtId="0" fontId="21" fillId="0" borderId="0"/>
    <xf numFmtId="44" fontId="21" fillId="0" borderId="0" applyFont="0" applyFill="0" applyBorder="0" applyAlignment="0" applyProtection="0"/>
    <xf numFmtId="0" fontId="26" fillId="0" borderId="0" applyNumberFormat="0" applyFill="0" applyBorder="0" applyAlignment="0" applyProtection="0"/>
    <xf numFmtId="9" fontId="21" fillId="0" borderId="0" applyFont="0" applyFill="0" applyBorder="0" applyAlignment="0" applyProtection="0"/>
  </cellStyleXfs>
  <cellXfs count="147">
    <xf numFmtId="0" fontId="0" fillId="0" borderId="0" xfId="0"/>
    <xf numFmtId="0" fontId="1" fillId="0" borderId="0" xfId="0" applyFont="1"/>
    <xf numFmtId="0" fontId="2" fillId="0" borderId="0" xfId="0" applyFont="1"/>
    <xf numFmtId="0" fontId="0" fillId="0" borderId="0" xfId="0" applyAlignment="1">
      <alignment wrapText="1"/>
    </xf>
    <xf numFmtId="0" fontId="0" fillId="2" borderId="0" xfId="0" applyFill="1" applyProtection="1">
      <protection locked="0"/>
    </xf>
    <xf numFmtId="42" fontId="0" fillId="2" borderId="0" xfId="1" applyNumberFormat="1" applyFont="1" applyFill="1" applyBorder="1" applyProtection="1">
      <protection locked="0"/>
    </xf>
    <xf numFmtId="42" fontId="0" fillId="0" borderId="0" xfId="0" applyNumberFormat="1"/>
    <xf numFmtId="42" fontId="0" fillId="2" borderId="0" xfId="0" applyNumberFormat="1" applyFill="1" applyProtection="1">
      <protection locked="0"/>
    </xf>
    <xf numFmtId="0" fontId="0" fillId="2" borderId="0" xfId="0" applyFill="1" applyAlignment="1" applyProtection="1">
      <alignment horizontal="right"/>
      <protection locked="0"/>
    </xf>
    <xf numFmtId="44" fontId="0" fillId="0" borderId="3" xfId="0" applyNumberFormat="1" applyBorder="1"/>
    <xf numFmtId="0" fontId="4" fillId="0" borderId="0" xfId="0" applyFont="1" applyAlignment="1">
      <alignment horizontal="centerContinuous"/>
    </xf>
    <xf numFmtId="0" fontId="0" fillId="0" borderId="0" xfId="0" applyAlignment="1">
      <alignment horizontal="centerContinuous"/>
    </xf>
    <xf numFmtId="44" fontId="0" fillId="0" borderId="4" xfId="0" applyNumberFormat="1" applyBorder="1"/>
    <xf numFmtId="44" fontId="0" fillId="0" borderId="16" xfId="0" applyNumberFormat="1" applyBorder="1"/>
    <xf numFmtId="44" fontId="0" fillId="0" borderId="15" xfId="0" applyNumberFormat="1" applyBorder="1"/>
    <xf numFmtId="44" fontId="8" fillId="0" borderId="15" xfId="0" applyNumberFormat="1" applyFont="1" applyBorder="1"/>
    <xf numFmtId="44" fontId="8" fillId="2" borderId="15" xfId="0" applyNumberFormat="1" applyFont="1" applyFill="1" applyBorder="1" applyProtection="1">
      <protection locked="0"/>
    </xf>
    <xf numFmtId="44" fontId="8" fillId="2" borderId="13" xfId="0" applyNumberFormat="1" applyFont="1" applyFill="1" applyBorder="1" applyProtection="1">
      <protection locked="0"/>
    </xf>
    <xf numFmtId="0" fontId="1" fillId="0" borderId="0" xfId="0" applyFont="1" applyAlignment="1">
      <alignment wrapText="1"/>
    </xf>
    <xf numFmtId="0" fontId="10" fillId="0" borderId="0" xfId="0" applyFont="1"/>
    <xf numFmtId="0" fontId="10" fillId="0" borderId="0" xfId="0" applyFont="1" applyAlignment="1">
      <alignment wrapText="1"/>
    </xf>
    <xf numFmtId="44" fontId="0" fillId="0" borderId="8" xfId="0" applyNumberFormat="1" applyBorder="1"/>
    <xf numFmtId="44" fontId="0" fillId="0" borderId="9" xfId="0" applyNumberFormat="1" applyBorder="1"/>
    <xf numFmtId="44" fontId="0" fillId="0" borderId="7" xfId="0" applyNumberFormat="1" applyBorder="1"/>
    <xf numFmtId="44" fontId="0" fillId="0" borderId="17" xfId="0" applyNumberFormat="1" applyBorder="1"/>
    <xf numFmtId="44" fontId="0" fillId="0" borderId="10" xfId="0" applyNumberFormat="1" applyBorder="1"/>
    <xf numFmtId="44" fontId="0" fillId="0" borderId="13" xfId="0" applyNumberFormat="1" applyBorder="1"/>
    <xf numFmtId="44" fontId="0" fillId="0" borderId="12" xfId="0" applyNumberFormat="1" applyBorder="1"/>
    <xf numFmtId="44" fontId="0" fillId="0" borderId="18" xfId="0" applyNumberFormat="1" applyBorder="1"/>
    <xf numFmtId="44" fontId="0" fillId="0" borderId="21" xfId="0" applyNumberFormat="1" applyBorder="1"/>
    <xf numFmtId="44" fontId="0" fillId="0" borderId="22" xfId="0" applyNumberFormat="1" applyBorder="1"/>
    <xf numFmtId="44" fontId="0" fillId="0" borderId="20" xfId="0" applyNumberFormat="1" applyBorder="1"/>
    <xf numFmtId="44" fontId="0" fillId="0" borderId="19" xfId="0" applyNumberFormat="1" applyBorder="1"/>
    <xf numFmtId="44" fontId="0" fillId="0" borderId="23" xfId="0" applyNumberFormat="1" applyBorder="1"/>
    <xf numFmtId="0" fontId="7" fillId="4" borderId="0" xfId="0" applyFont="1" applyFill="1" applyAlignment="1">
      <alignment vertical="center"/>
    </xf>
    <xf numFmtId="0" fontId="0" fillId="4" borderId="0" xfId="0" applyFill="1"/>
    <xf numFmtId="44" fontId="0" fillId="4" borderId="0" xfId="0" applyNumberFormat="1" applyFill="1"/>
    <xf numFmtId="0" fontId="6" fillId="4" borderId="0" xfId="0" applyFont="1" applyFill="1" applyAlignment="1">
      <alignment vertical="center"/>
    </xf>
    <xf numFmtId="44" fontId="8" fillId="2" borderId="12" xfId="0" applyNumberFormat="1" applyFont="1" applyFill="1" applyBorder="1" applyProtection="1">
      <protection locked="0"/>
    </xf>
    <xf numFmtId="44" fontId="8" fillId="0" borderId="13" xfId="0" applyNumberFormat="1" applyFont="1" applyBorder="1"/>
    <xf numFmtId="0" fontId="9" fillId="0" borderId="11" xfId="0" applyFont="1" applyBorder="1"/>
    <xf numFmtId="44" fontId="8" fillId="0" borderId="12" xfId="0" applyNumberFormat="1" applyFont="1" applyBorder="1"/>
    <xf numFmtId="0" fontId="8" fillId="3" borderId="11" xfId="0" applyFont="1" applyFill="1" applyBorder="1" applyAlignment="1">
      <alignment wrapText="1"/>
    </xf>
    <xf numFmtId="0" fontId="2" fillId="0" borderId="24" xfId="0" applyFont="1" applyBorder="1" applyAlignment="1">
      <alignment horizontal="centerContinuous" wrapText="1"/>
    </xf>
    <xf numFmtId="0" fontId="0" fillId="0" borderId="6" xfId="0" applyBorder="1"/>
    <xf numFmtId="0" fontId="0" fillId="0" borderId="7" xfId="0" applyBorder="1"/>
    <xf numFmtId="0" fontId="5" fillId="0" borderId="25" xfId="2" applyBorder="1" applyAlignment="1">
      <alignment horizontal="left" indent="2"/>
    </xf>
    <xf numFmtId="0" fontId="5" fillId="0" borderId="7" xfId="2" applyBorder="1"/>
    <xf numFmtId="0" fontId="0" fillId="2" borderId="14" xfId="0" applyFill="1" applyBorder="1" applyAlignment="1">
      <alignment wrapText="1"/>
    </xf>
    <xf numFmtId="0" fontId="0" fillId="5" borderId="2" xfId="0" applyFill="1" applyBorder="1" applyAlignment="1">
      <alignment wrapText="1"/>
    </xf>
    <xf numFmtId="0" fontId="0" fillId="5" borderId="6" xfId="0" applyFill="1" applyBorder="1" applyAlignment="1">
      <alignment wrapText="1"/>
    </xf>
    <xf numFmtId="0" fontId="10" fillId="0" borderId="0" xfId="0" applyFont="1" applyAlignment="1">
      <alignment horizontal="centerContinuous" wrapText="1"/>
    </xf>
    <xf numFmtId="0" fontId="4" fillId="0" borderId="0" xfId="0" applyFont="1" applyAlignment="1">
      <alignment horizontal="centerContinuous" vertical="center"/>
    </xf>
    <xf numFmtId="0" fontId="2" fillId="0" borderId="0" xfId="0" applyFont="1" applyAlignment="1">
      <alignment horizontal="centerContinuous" wrapText="1"/>
    </xf>
    <xf numFmtId="0" fontId="0" fillId="2" borderId="1" xfId="0" applyFill="1" applyBorder="1" applyAlignment="1">
      <alignment wrapText="1"/>
    </xf>
    <xf numFmtId="0" fontId="0" fillId="2" borderId="2" xfId="0" applyFill="1" applyBorder="1" applyAlignment="1">
      <alignment wrapText="1"/>
    </xf>
    <xf numFmtId="0" fontId="0" fillId="2" borderId="6" xfId="0" applyFill="1" applyBorder="1" applyAlignment="1">
      <alignment wrapText="1"/>
    </xf>
    <xf numFmtId="0" fontId="0" fillId="5" borderId="14" xfId="0" applyFill="1" applyBorder="1" applyAlignment="1">
      <alignment wrapText="1"/>
    </xf>
    <xf numFmtId="0" fontId="0" fillId="6" borderId="14" xfId="0" applyFill="1" applyBorder="1" applyAlignment="1">
      <alignment wrapText="1"/>
    </xf>
    <xf numFmtId="0" fontId="0" fillId="6" borderId="1" xfId="0" applyFill="1" applyBorder="1" applyAlignment="1">
      <alignment wrapText="1"/>
    </xf>
    <xf numFmtId="44" fontId="8" fillId="5" borderId="15" xfId="0" applyNumberFormat="1" applyFont="1" applyFill="1" applyBorder="1" applyProtection="1">
      <protection locked="0"/>
    </xf>
    <xf numFmtId="44" fontId="8" fillId="5" borderId="12" xfId="0" applyNumberFormat="1" applyFont="1" applyFill="1" applyBorder="1" applyProtection="1">
      <protection locked="0"/>
    </xf>
    <xf numFmtId="44" fontId="8" fillId="5" borderId="13" xfId="0" applyNumberFormat="1" applyFont="1" applyFill="1" applyBorder="1" applyProtection="1">
      <protection locked="0"/>
    </xf>
    <xf numFmtId="44" fontId="8" fillId="6" borderId="15" xfId="0" applyNumberFormat="1" applyFont="1" applyFill="1" applyBorder="1" applyProtection="1">
      <protection locked="0"/>
    </xf>
    <xf numFmtId="0" fontId="8" fillId="2" borderId="25" xfId="0" applyFont="1" applyFill="1" applyBorder="1" applyProtection="1">
      <protection locked="0"/>
    </xf>
    <xf numFmtId="0" fontId="9" fillId="0" borderId="25" xfId="0" applyFont="1" applyBorder="1"/>
    <xf numFmtId="0" fontId="0" fillId="0" borderId="0" xfId="0" applyAlignment="1">
      <alignment horizontal="centerContinuous" vertical="center"/>
    </xf>
    <xf numFmtId="0" fontId="4" fillId="0" borderId="0" xfId="0" applyFont="1" applyAlignment="1">
      <alignment horizontal="centerContinuous" vertical="center" wrapText="1"/>
    </xf>
    <xf numFmtId="0" fontId="15" fillId="0" borderId="0" xfId="0" applyFont="1"/>
    <xf numFmtId="44" fontId="0" fillId="0" borderId="0" xfId="1" applyFont="1"/>
    <xf numFmtId="42" fontId="0" fillId="3" borderId="0" xfId="0" applyNumberFormat="1" applyFill="1"/>
    <xf numFmtId="0" fontId="16" fillId="0" borderId="0" xfId="0" applyFont="1" applyAlignment="1">
      <alignment vertical="center" wrapText="1"/>
    </xf>
    <xf numFmtId="0" fontId="8" fillId="0" borderId="26" xfId="3" applyFont="1" applyBorder="1" applyAlignment="1">
      <alignment horizontal="left" indent="5"/>
    </xf>
    <xf numFmtId="0" fontId="16" fillId="0" borderId="0" xfId="0" applyFont="1" applyAlignment="1">
      <alignment vertical="top" wrapText="1"/>
    </xf>
    <xf numFmtId="0" fontId="8" fillId="2" borderId="25" xfId="0" applyFont="1" applyFill="1" applyBorder="1" applyAlignment="1" applyProtection="1">
      <alignment horizontal="left"/>
      <protection locked="0"/>
    </xf>
    <xf numFmtId="0" fontId="19" fillId="0" borderId="0" xfId="2" applyFont="1" applyAlignment="1">
      <alignment horizontal="left" vertical="center"/>
    </xf>
    <xf numFmtId="0" fontId="19" fillId="0" borderId="0" xfId="2" applyFont="1" applyFill="1" applyAlignment="1">
      <alignment vertical="center"/>
    </xf>
    <xf numFmtId="0" fontId="18" fillId="7" borderId="0" xfId="0" applyFont="1" applyFill="1" applyAlignment="1">
      <alignment wrapText="1"/>
    </xf>
    <xf numFmtId="0" fontId="20" fillId="7" borderId="0" xfId="2" applyFont="1" applyFill="1" applyAlignment="1">
      <alignment horizontal="left" vertical="center" indent="2"/>
    </xf>
    <xf numFmtId="0" fontId="20" fillId="7" borderId="0" xfId="2" applyFont="1" applyFill="1" applyAlignment="1">
      <alignment horizontal="left" indent="2"/>
    </xf>
    <xf numFmtId="0" fontId="20" fillId="7" borderId="0" xfId="2" applyFont="1" applyFill="1" applyAlignment="1">
      <alignment vertical="center"/>
    </xf>
    <xf numFmtId="0" fontId="13" fillId="0" borderId="0" xfId="0" applyFont="1"/>
    <xf numFmtId="0" fontId="19" fillId="0" borderId="0" xfId="2" applyFont="1" applyAlignment="1">
      <alignment horizontal="left" vertical="center" indent="2"/>
    </xf>
    <xf numFmtId="0" fontId="1" fillId="0" borderId="0" xfId="0" applyFont="1" applyAlignment="1">
      <alignment horizontal="left" indent="2"/>
    </xf>
    <xf numFmtId="0" fontId="19" fillId="0" borderId="0" xfId="2" applyFont="1" applyAlignment="1">
      <alignment horizontal="left" indent="2"/>
    </xf>
    <xf numFmtId="0" fontId="7" fillId="0" borderId="0" xfId="0" applyFont="1" applyAlignment="1">
      <alignment wrapText="1"/>
    </xf>
    <xf numFmtId="0" fontId="5" fillId="0" borderId="11" xfId="2" applyBorder="1"/>
    <xf numFmtId="0" fontId="5" fillId="0" borderId="11" xfId="2" applyBorder="1" applyAlignment="1">
      <alignment vertical="center"/>
    </xf>
    <xf numFmtId="44" fontId="0" fillId="0" borderId="27" xfId="0" applyNumberFormat="1" applyBorder="1"/>
    <xf numFmtId="44" fontId="0" fillId="0" borderId="14" xfId="0" applyNumberFormat="1" applyBorder="1"/>
    <xf numFmtId="44" fontId="0" fillId="0" borderId="1" xfId="0" applyNumberFormat="1" applyBorder="1"/>
    <xf numFmtId="44" fontId="0" fillId="0" borderId="2" xfId="0" applyNumberFormat="1" applyBorder="1"/>
    <xf numFmtId="44" fontId="0" fillId="0" borderId="6" xfId="0" applyNumberFormat="1" applyBorder="1"/>
    <xf numFmtId="0" fontId="2" fillId="0" borderId="6" xfId="0" applyFont="1" applyBorder="1"/>
    <xf numFmtId="0" fontId="21" fillId="0" borderId="0" xfId="0" applyFont="1"/>
    <xf numFmtId="0" fontId="18" fillId="7" borderId="0" xfId="0" applyFont="1" applyFill="1" applyAlignment="1">
      <alignment vertical="center" wrapText="1"/>
    </xf>
    <xf numFmtId="0" fontId="2" fillId="0" borderId="29" xfId="0" applyFont="1" applyBorder="1"/>
    <xf numFmtId="44" fontId="2" fillId="0" borderId="14" xfId="0" applyNumberFormat="1" applyFont="1" applyBorder="1"/>
    <xf numFmtId="44" fontId="2" fillId="0" borderId="1" xfId="0" applyNumberFormat="1" applyFont="1" applyBorder="1"/>
    <xf numFmtId="44" fontId="2" fillId="0" borderId="2" xfId="0" applyNumberFormat="1" applyFont="1" applyBorder="1"/>
    <xf numFmtId="44" fontId="2" fillId="0" borderId="30" xfId="0" applyNumberFormat="1" applyFont="1" applyBorder="1"/>
    <xf numFmtId="0" fontId="2" fillId="0" borderId="28" xfId="0" applyFont="1" applyBorder="1"/>
    <xf numFmtId="44" fontId="2" fillId="0" borderId="31" xfId="0" applyNumberFormat="1" applyFont="1" applyBorder="1"/>
    <xf numFmtId="44" fontId="2" fillId="0" borderId="32" xfId="0" applyNumberFormat="1" applyFont="1" applyBorder="1"/>
    <xf numFmtId="44" fontId="2" fillId="0" borderId="33" xfId="0" applyNumberFormat="1" applyFont="1" applyBorder="1"/>
    <xf numFmtId="0" fontId="2" fillId="0" borderId="40" xfId="0" applyFont="1" applyBorder="1"/>
    <xf numFmtId="44" fontId="2" fillId="0" borderId="41" xfId="0" applyNumberFormat="1" applyFont="1" applyBorder="1"/>
    <xf numFmtId="44" fontId="2" fillId="0" borderId="40" xfId="0" applyNumberFormat="1" applyFont="1" applyBorder="1"/>
    <xf numFmtId="44" fontId="2" fillId="0" borderId="34" xfId="0" applyNumberFormat="1" applyFont="1" applyBorder="1"/>
    <xf numFmtId="44" fontId="2" fillId="0" borderId="0" xfId="0" applyNumberFormat="1" applyFont="1"/>
    <xf numFmtId="0" fontId="2" fillId="0" borderId="35" xfId="0" applyFont="1" applyBorder="1"/>
    <xf numFmtId="44" fontId="10" fillId="0" borderId="0" xfId="0" applyNumberFormat="1" applyFont="1" applyAlignment="1">
      <alignment vertical="center" wrapText="1"/>
    </xf>
    <xf numFmtId="44" fontId="2" fillId="0" borderId="36" xfId="0" applyNumberFormat="1" applyFont="1" applyBorder="1"/>
    <xf numFmtId="44" fontId="2" fillId="0" borderId="37" xfId="0" applyNumberFormat="1" applyFont="1" applyBorder="1"/>
    <xf numFmtId="44" fontId="2" fillId="0" borderId="38" xfId="0" applyNumberFormat="1" applyFont="1" applyBorder="1"/>
    <xf numFmtId="44" fontId="2" fillId="0" borderId="39" xfId="0" applyNumberFormat="1" applyFont="1" applyBorder="1"/>
    <xf numFmtId="0" fontId="11" fillId="0" borderId="0" xfId="0" applyFont="1" applyAlignment="1">
      <alignment horizontal="centerContinuous" wrapText="1"/>
    </xf>
    <xf numFmtId="0" fontId="21" fillId="0" borderId="6" xfId="0" applyFont="1" applyBorder="1"/>
    <xf numFmtId="0" fontId="22" fillId="0" borderId="0" xfId="0" applyFont="1" applyAlignment="1">
      <alignment horizontal="left" wrapText="1"/>
    </xf>
    <xf numFmtId="0" fontId="0" fillId="0" borderId="0" xfId="0" applyAlignment="1">
      <alignment horizontal="center"/>
    </xf>
    <xf numFmtId="0" fontId="23" fillId="0" borderId="0" xfId="0" applyFont="1" applyAlignment="1">
      <alignment vertical="center" wrapText="1"/>
    </xf>
    <xf numFmtId="0" fontId="1" fillId="0" borderId="5" xfId="0" applyFont="1" applyBorder="1" applyAlignment="1">
      <alignment horizontal="left" indent="2"/>
    </xf>
    <xf numFmtId="44" fontId="5" fillId="0" borderId="25" xfId="2" applyNumberFormat="1" applyBorder="1"/>
    <xf numFmtId="0" fontId="25" fillId="0" borderId="0" xfId="0" applyFont="1"/>
    <xf numFmtId="0" fontId="25" fillId="0" borderId="0" xfId="0" applyFont="1" applyAlignment="1">
      <alignment horizontal="left" wrapText="1"/>
    </xf>
    <xf numFmtId="44" fontId="13" fillId="0" borderId="0" xfId="0" applyNumberFormat="1" applyFont="1" applyAlignment="1">
      <alignment vertical="center"/>
    </xf>
    <xf numFmtId="44" fontId="27" fillId="0" borderId="0" xfId="0" applyNumberFormat="1" applyFont="1" applyAlignment="1">
      <alignment vertical="center"/>
    </xf>
    <xf numFmtId="44" fontId="11" fillId="0" borderId="0" xfId="0" applyNumberFormat="1" applyFont="1"/>
    <xf numFmtId="44" fontId="13" fillId="0" borderId="0" xfId="0" applyNumberFormat="1" applyFont="1"/>
    <xf numFmtId="0" fontId="13" fillId="0" borderId="0" xfId="0" applyFont="1" applyAlignment="1">
      <alignment vertical="center"/>
    </xf>
    <xf numFmtId="0" fontId="13" fillId="0" borderId="0" xfId="0" applyFont="1" applyAlignment="1">
      <alignment horizontal="centerContinuous" wrapText="1"/>
    </xf>
    <xf numFmtId="0" fontId="9" fillId="0" borderId="0" xfId="0" applyFont="1" applyAlignment="1">
      <alignment horizontal="left" vertical="center" wrapText="1"/>
    </xf>
    <xf numFmtId="0" fontId="9" fillId="0" borderId="0" xfId="0" applyFont="1" applyAlignment="1">
      <alignment vertical="center" wrapText="1"/>
    </xf>
    <xf numFmtId="0" fontId="7" fillId="0" borderId="0" xfId="0" applyFont="1"/>
    <xf numFmtId="0" fontId="5" fillId="0" borderId="0" xfId="2"/>
    <xf numFmtId="0" fontId="24" fillId="0" borderId="0" xfId="0" applyFont="1" applyAlignment="1">
      <alignment horizontal="left"/>
    </xf>
    <xf numFmtId="44" fontId="13" fillId="0" borderId="0" xfId="0" applyNumberFormat="1" applyFont="1" applyAlignment="1">
      <alignment vertical="center" wrapText="1"/>
    </xf>
    <xf numFmtId="44" fontId="0" fillId="8" borderId="15" xfId="0" applyNumberFormat="1" applyFill="1" applyBorder="1"/>
    <xf numFmtId="44" fontId="0" fillId="8" borderId="12" xfId="0" applyNumberFormat="1" applyFill="1" applyBorder="1"/>
    <xf numFmtId="44" fontId="0" fillId="8" borderId="13" xfId="0" applyNumberFormat="1" applyFill="1" applyBorder="1"/>
    <xf numFmtId="44" fontId="0" fillId="8" borderId="27" xfId="0" applyNumberFormat="1" applyFill="1" applyBorder="1"/>
    <xf numFmtId="0" fontId="14" fillId="0" borderId="0" xfId="0" applyFont="1" applyAlignment="1">
      <alignment vertical="center" wrapText="1"/>
    </xf>
    <xf numFmtId="0" fontId="24" fillId="0" borderId="0" xfId="0" applyFont="1" applyAlignment="1">
      <alignment horizontal="left"/>
    </xf>
    <xf numFmtId="44" fontId="13" fillId="0" borderId="0" xfId="0" applyNumberFormat="1" applyFont="1" applyAlignment="1">
      <alignment vertical="center" wrapText="1"/>
    </xf>
    <xf numFmtId="0" fontId="13" fillId="0" borderId="0" xfId="0" applyFont="1" applyAlignment="1">
      <alignment vertical="center" wrapText="1"/>
    </xf>
    <xf numFmtId="44" fontId="8" fillId="0" borderId="0" xfId="0" applyNumberFormat="1" applyFont="1" applyAlignment="1">
      <alignment horizontal="left" wrapText="1"/>
    </xf>
    <xf numFmtId="0" fontId="10" fillId="0" borderId="0" xfId="0" applyFont="1" applyAlignment="1">
      <alignment horizontal="center" wrapText="1"/>
    </xf>
  </cellXfs>
  <cellStyles count="8">
    <cellStyle name="Currency" xfId="1" builtinId="4"/>
    <cellStyle name="Currency 2" xfId="5" xr:uid="{411CCC0F-5356-4D2C-8104-78C3D3C71FB5}"/>
    <cellStyle name="Hyperlink" xfId="2" builtinId="8"/>
    <cellStyle name="Hyperlink 2" xfId="6" xr:uid="{A004CD61-14AE-44A4-8C7C-47750A34C25E}"/>
    <cellStyle name="Normal" xfId="0" builtinId="0"/>
    <cellStyle name="Normal 2" xfId="3" xr:uid="{8452FDB2-2060-4357-8F37-879DCFB7CAFE}"/>
    <cellStyle name="Normal 2 2" xfId="4" xr:uid="{4AA4048F-6FE5-4DFA-AA84-9B92425038AF}"/>
    <cellStyle name="Percent 2" xfId="7" xr:uid="{8A187173-664F-4CA8-A971-B5C5BE5E0B91}"/>
  </cellStyles>
  <dxfs count="420">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ill>
        <patternFill>
          <bgColor theme="1"/>
        </patternFill>
      </fill>
    </dxf>
    <dxf>
      <fill>
        <patternFill>
          <bgColor theme="1"/>
        </patternFill>
      </fill>
    </dxf>
    <dxf>
      <font>
        <color rgb="FF9C0006"/>
      </font>
      <fill>
        <patternFill>
          <bgColor rgb="FFFFC7CE"/>
        </patternFill>
      </fill>
    </dxf>
    <dxf>
      <fill>
        <patternFill>
          <bgColor theme="1"/>
        </patternFill>
      </fill>
    </dxf>
    <dxf>
      <font>
        <color theme="1"/>
      </font>
      <fill>
        <patternFill>
          <bgColor theme="1"/>
        </patternFill>
      </fill>
    </dxf>
    <dxf>
      <font>
        <color rgb="FF9C0006"/>
      </font>
      <fill>
        <patternFill>
          <bgColor rgb="FFFFC7CE"/>
        </patternFill>
      </fill>
    </dxf>
    <dxf>
      <font>
        <color auto="1"/>
      </font>
      <fill>
        <patternFill>
          <bgColor theme="1"/>
        </patternFill>
      </fill>
    </dxf>
    <dxf>
      <fill>
        <patternFill>
          <bgColor theme="1"/>
        </patternFill>
      </fill>
    </dxf>
    <dxf>
      <font>
        <color rgb="FF9C0006"/>
      </font>
      <fill>
        <patternFill>
          <bgColor rgb="FFFFC7CE"/>
        </patternFill>
      </fill>
    </dxf>
    <dxf>
      <fill>
        <patternFill>
          <bgColor theme="1"/>
        </patternFill>
      </fill>
    </dxf>
    <dxf>
      <font>
        <color rgb="FF9C0006"/>
      </font>
      <fill>
        <patternFill>
          <bgColor rgb="FFFFC7CE"/>
        </patternFill>
      </fill>
    </dxf>
    <dxf>
      <font>
        <color rgb="FF9C0006"/>
      </font>
      <fill>
        <patternFill>
          <bgColor rgb="FFFFC7CE"/>
        </patternFill>
      </fill>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none"/>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outline="0">
        <bottom style="thin">
          <color auto="1"/>
        </bottom>
      </border>
    </dxf>
    <dxf>
      <font>
        <strike val="0"/>
        <outline val="0"/>
        <shadow val="0"/>
        <u val="none"/>
        <vertAlign val="baseline"/>
        <sz val="11"/>
        <color auto="1"/>
        <name val="Calibri"/>
        <scheme val="minor"/>
      </font>
      <numFmt numFmtId="34" formatCode="_(&quot;$&quot;* #,##0.00_);_(&quot;$&quot;* \(#,##0.00\);_(&quot;$&quot;* &quot;-&quot;??_);_(@_)"/>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style="thin">
          <color auto="1"/>
        </left>
        <right style="medium">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b val="0"/>
        <i val="0"/>
        <strike val="0"/>
        <condense val="0"/>
        <extend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protection locked="0" hidden="0"/>
    </dxf>
    <dxf>
      <font>
        <strike val="0"/>
        <outline val="0"/>
        <shadow val="0"/>
        <u val="none"/>
        <vertAlign val="baseline"/>
        <sz val="11"/>
        <color auto="1"/>
        <name val="Calibri"/>
        <scheme val="minor"/>
      </font>
      <numFmt numFmtId="34" formatCode="_(&quot;$&quot;* #,##0.00_);_(&quot;$&quot;* \(#,##0.00\);_(&quot;$&quot;* &quot;-&quot;??_);_(@_)"/>
      <border diagonalUp="0" diagonalDown="0" outline="0">
        <left style="thick">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fill>
        <patternFill patternType="solid">
          <fgColor indexed="64"/>
          <bgColor theme="4" tint="0.79998168889431442"/>
        </patternFill>
      </fill>
      <border diagonalUp="0" diagonalDown="0" outline="0">
        <left/>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outline="0">
        <left style="thin">
          <color auto="1"/>
        </left>
        <right style="thin">
          <color auto="1"/>
        </right>
        <top style="thin">
          <color auto="1"/>
        </top>
        <bottom style="thin">
          <color auto="1"/>
        </bottom>
      </border>
    </dxf>
    <dxf>
      <font>
        <strike val="0"/>
        <outline val="0"/>
        <shadow val="0"/>
        <u val="none"/>
        <vertAlign val="baseline"/>
        <sz val="11"/>
        <color auto="1"/>
        <name val="Calibri"/>
        <scheme val="minor"/>
      </font>
      <numFmt numFmtId="34" formatCode="_(&quot;$&quot;* #,##0.00_);_(&quot;$&quot;* \(#,##0.00\);_(&quot;$&quot;* &quot;-&quot;??_);_(@_)"/>
      <border diagonalUp="0" diagonalDown="0">
        <left style="thick">
          <color auto="1"/>
        </left>
        <right style="thin">
          <color auto="1"/>
        </right>
        <top style="thin">
          <color auto="1"/>
        </top>
        <bottom style="thin">
          <color auto="1"/>
        </bottom>
        <vertical/>
        <horizontal style="thin">
          <color auto="1"/>
        </horizontal>
      </border>
    </dxf>
    <dxf>
      <font>
        <strike val="0"/>
        <outline val="0"/>
        <shadow val="0"/>
        <u val="none"/>
        <vertAlign val="baseline"/>
        <sz val="11"/>
        <color auto="1"/>
        <name val="Calibri"/>
        <scheme val="minor"/>
      </font>
      <border diagonalUp="0" diagonalDown="0" outline="0">
        <left/>
        <right style="thin">
          <color auto="1"/>
        </right>
        <top style="thin">
          <color auto="1"/>
        </top>
        <bottom style="thin">
          <color auto="1"/>
        </bottom>
      </border>
    </dxf>
    <dxf>
      <border>
        <top style="thin">
          <color auto="1"/>
        </top>
      </border>
    </dxf>
    <dxf>
      <border diagonalUp="0" diagonalDown="0">
        <left style="medium">
          <color auto="1"/>
        </left>
        <right style="medium">
          <color auto="1"/>
        </right>
        <top style="medium">
          <color auto="1"/>
        </top>
        <bottom style="medium">
          <color auto="1"/>
        </bottom>
      </border>
    </dxf>
    <dxf>
      <font>
        <strike val="0"/>
        <outline val="0"/>
        <shadow val="0"/>
        <u val="none"/>
        <vertAlign val="baseline"/>
        <sz val="11"/>
        <color auto="1"/>
        <name val="Calibri"/>
        <scheme val="minor"/>
      </font>
    </dxf>
    <dxf>
      <border>
        <bottom style="thin">
          <color auto="1"/>
        </bottom>
      </border>
    </dxf>
    <dxf>
      <border diagonalUp="0" diagonalDown="0">
        <left style="thin">
          <color auto="1"/>
        </left>
        <right style="thin">
          <color auto="1"/>
        </right>
        <top/>
        <bottom/>
        <vertical style="thin">
          <color auto="1"/>
        </vertical>
        <horizontal style="thin">
          <color auto="1"/>
        </horizontal>
      </border>
    </dxf>
    <dxf>
      <numFmt numFmtId="34" formatCode="_(&quot;$&quot;* #,##0.00_);_(&quot;$&quot;* \(#,##0.00\);_(&quot;$&quot;* &quot;-&quot;??_);_(@_)"/>
      <border diagonalUp="0" diagonalDown="0">
        <left style="thin">
          <color auto="1"/>
        </left>
        <right/>
        <top style="thin">
          <color auto="1"/>
        </top>
        <bottom style="thin">
          <color auto="1"/>
        </bottom>
        <vertical style="thin">
          <color auto="1"/>
        </vertical>
      </border>
    </dxf>
    <dxf>
      <numFmt numFmtId="34" formatCode="_(&quot;$&quot;* #,##0.00_);_(&quot;$&quot;* \(#,##0.00\);_(&quot;$&quot;* &quot;-&quot;??_);_(@_)"/>
      <border diagonalUp="0" diagonalDown="0">
        <left style="thick">
          <color auto="1"/>
        </left>
        <right style="thin">
          <color auto="1"/>
        </right>
        <top style="thin">
          <color auto="1"/>
        </top>
        <bottom style="thin">
          <color auto="1"/>
        </bottom>
        <vertical style="thin">
          <color auto="1"/>
        </vertical>
      </border>
    </dxf>
    <dxf>
      <numFmt numFmtId="34" formatCode="_(&quot;$&quot;* #,##0.00_);_(&quot;$&quot;* \(#,##0.00\);_(&quot;$&quot;* &quot;-&quot;??_);_(@_)"/>
      <border diagonalUp="0" diagonalDown="0" outline="0">
        <left style="thin">
          <color auto="1"/>
        </left>
        <right style="medium">
          <color auto="1"/>
        </right>
        <top style="thin">
          <color auto="1"/>
        </top>
        <bottom style="thin">
          <color auto="1"/>
        </bottom>
      </border>
    </dxf>
    <dxf>
      <numFmt numFmtId="34" formatCode="_(&quot;$&quot;* #,##0.00_);_(&quot;$&quot;* \(#,##0.00\);_(&quot;$&quot;* &quot;-&quot;??_);_(@_)"/>
      <border diagonalUp="0" diagonalDown="0" outline="0">
        <left style="thin">
          <color auto="1"/>
        </left>
        <right/>
        <top style="thin">
          <color auto="1"/>
        </top>
        <bottom style="thin">
          <color auto="1"/>
        </bottom>
      </border>
    </dxf>
    <dxf>
      <numFmt numFmtId="34" formatCode="_(&quot;$&quot;* #,##0.00_);_(&quot;$&quot;* \(#,##0.00\);_(&quot;$&quot;* &quot;-&quot;??_);_(@_)"/>
    </dxf>
    <dxf>
      <numFmt numFmtId="34" formatCode="_(&quot;$&quot;* #,##0.00_);_(&quot;$&quot;* \(#,##0.00\);_(&quot;$&quot;* &quot;-&quot;??_);_(@_)"/>
      <border diagonalUp="0" diagonalDown="0">
        <left style="thick">
          <color auto="1"/>
        </left>
        <right style="thin">
          <color auto="1"/>
        </right>
        <top style="thin">
          <color auto="1"/>
        </top>
        <bottom style="thin">
          <color auto="1"/>
        </bottom>
        <vertical/>
      </border>
    </dxf>
    <dxf>
      <numFmt numFmtId="34" formatCode="_(&quot;$&quot;* #,##0.00_);_(&quot;$&quot;* \(#,##0.00\);_(&quot;$&quot;* &quot;-&quot;??_);_(@_)"/>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outline="0">
        <left style="thin">
          <color auto="1"/>
        </left>
        <right style="thin">
          <color auto="1"/>
        </right>
        <top style="thin">
          <color auto="1"/>
        </top>
        <bottom style="thin">
          <color auto="1"/>
        </bottom>
      </border>
    </dxf>
    <dxf>
      <numFmt numFmtId="34" formatCode="_(&quot;$&quot;* #,##0.00_);_(&quot;$&quot;* \(#,##0.00\);_(&quot;$&quot;* &quot;-&quot;??_);_(@_)"/>
      <border diagonalUp="0" diagonalDown="0">
        <left style="thick">
          <color auto="1"/>
        </left>
        <right style="thin">
          <color auto="1"/>
        </right>
        <top style="thin">
          <color auto="1"/>
        </top>
        <bottom style="thin">
          <color auto="1"/>
        </bottom>
        <vertical/>
      </border>
    </dxf>
    <dxf>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border diagonalUp="0" diagonalDown="0">
        <left style="medium">
          <color auto="1"/>
        </left>
        <right style="medium">
          <color auto="1"/>
        </right>
        <top style="medium">
          <color auto="1"/>
        </top>
        <bottom style="medium">
          <color auto="1"/>
        </bottom>
      </border>
    </dxf>
    <dxf>
      <border>
        <bottom style="thin">
          <color auto="1"/>
        </bottom>
      </border>
    </dxf>
    <dxf>
      <border diagonalUp="0" diagonalDown="0">
        <left style="thin">
          <color auto="1"/>
        </left>
        <right style="thin">
          <color auto="1"/>
        </right>
        <top/>
        <bottom/>
        <vertical style="thin">
          <color auto="1"/>
        </vertical>
        <horizontal style="thin">
          <color auto="1"/>
        </horizontal>
      </border>
    </dxf>
    <dxf>
      <alignment horizontal="general" vertical="bottom" textRotation="0" wrapText="1" indent="0" justifyLastLine="0" shrinkToFit="0" readingOrder="0"/>
    </dxf>
    <dxf>
      <fill>
        <patternFill patternType="solid">
          <fgColor indexed="64"/>
          <bgColor theme="4" tint="0.79998168889431442"/>
        </patternFill>
      </fill>
    </dxf>
    <dxf>
      <font>
        <b/>
        <i val="0"/>
        <strike val="0"/>
        <condense val="0"/>
        <extend val="0"/>
        <outline val="0"/>
        <shadow val="0"/>
        <u val="none"/>
        <vertAlign val="baseline"/>
        <sz val="11"/>
        <color theme="1"/>
        <name val="Calibri"/>
        <scheme val="minor"/>
      </font>
      <alignment horizontal="general" vertical="bottom" textRotation="0" wrapText="1" indent="0" justifyLastLine="0" shrinkToFit="0" readingOrder="0"/>
    </dxf>
    <dxf>
      <font>
        <b/>
        <i val="0"/>
        <strike val="0"/>
        <condense val="0"/>
        <extend val="0"/>
        <outline val="0"/>
        <shadow val="0"/>
        <u val="none"/>
        <vertAlign val="baseline"/>
        <sz val="11"/>
        <color theme="1"/>
        <name val="Calibri"/>
        <scheme val="minor"/>
      </font>
    </dxf>
    <dxf>
      <border diagonalUp="0" diagonalDown="0">
        <left style="thick">
          <color auto="1"/>
        </left>
        <right style="thick">
          <color auto="1"/>
        </right>
        <top style="thick">
          <color auto="1"/>
        </top>
        <bottom style="thick">
          <color auto="1"/>
        </bottom>
      </border>
    </dxf>
  </dxfs>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352425</xdr:rowOff>
    </xdr:from>
    <xdr:to>
      <xdr:col>8</xdr:col>
      <xdr:colOff>152400</xdr:colOff>
      <xdr:row>1</xdr:row>
      <xdr:rowOff>0</xdr:rowOff>
    </xdr:to>
    <xdr:pic>
      <xdr:nvPicPr>
        <xdr:cNvPr id="4" name="Picture 3">
          <a:extLst>
            <a:ext uri="{FF2B5EF4-FFF2-40B4-BE49-F238E27FC236}">
              <a16:creationId xmlns:a16="http://schemas.microsoft.com/office/drawing/2014/main" id="{B93641EA-8B63-FBA9-A5E4-E7DF646D838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00650" y="352425"/>
          <a:ext cx="3810000" cy="15335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Budget%20Service\SHARED\SERRAPAD\IDEA%20Formula%20Allocations\Part%20B%20611\Grants%20to%20States%20(611)%20Formula%20(OA%20Upd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lcome"/>
      <sheetName val="Checklist"/>
      <sheetName val="Formula"/>
      <sheetName val="Approp Path"/>
      <sheetName val="Prior Year Funding Levels"/>
      <sheetName val="Prior Year Penalties"/>
      <sheetName val="Inflation"/>
      <sheetName val="Population Est (Estimates)"/>
      <sheetName val="Population Est (Ferrett)"/>
      <sheetName val="Poverty Est (Ferrett)"/>
      <sheetName val="Poverty Est (Census + Ferrett)"/>
      <sheetName val="Population Est - OAs"/>
      <sheetName val="Maximum Funding"/>
      <sheetName val="APPE Adjustment"/>
      <sheetName val="APPE"/>
      <sheetName val="APPE Public &amp; CJ"/>
      <sheetName val="Childcount 2004"/>
      <sheetName val="Childcount 2007"/>
      <sheetName val="Admin Maximums"/>
      <sheetName val="Other Activities Maxmiums"/>
      <sheetName val="State-Level Activities"/>
      <sheetName val="Summary Table"/>
      <sheetName val="State Table MAX Template"/>
    </sheetNames>
    <sheetDataSet>
      <sheetData sheetId="0"/>
      <sheetData sheetId="1"/>
      <sheetData sheetId="2"/>
      <sheetData sheetId="3">
        <row r="2">
          <cell r="A2">
            <v>1999</v>
          </cell>
        </row>
      </sheetData>
      <sheetData sheetId="4">
        <row r="1">
          <cell r="A1" t="str">
            <v>Prior Year Funding Levels</v>
          </cell>
        </row>
      </sheetData>
      <sheetData sheetId="5">
        <row r="1">
          <cell r="A1" t="str">
            <v>Prior Year Penalties</v>
          </cell>
        </row>
      </sheetData>
      <sheetData sheetId="6">
        <row r="8">
          <cell r="A8" t="str">
            <v>Month</v>
          </cell>
        </row>
      </sheetData>
      <sheetData sheetId="7">
        <row r="1">
          <cell r="A1" t="str">
            <v>State Name</v>
          </cell>
        </row>
      </sheetData>
      <sheetData sheetId="8"/>
      <sheetData sheetId="9"/>
      <sheetData sheetId="10">
        <row r="3">
          <cell r="A3" t="str">
            <v>Alabama</v>
          </cell>
        </row>
      </sheetData>
      <sheetData sheetId="11">
        <row r="8">
          <cell r="B8" t="str">
            <v>2010 School Enrollment/1</v>
          </cell>
        </row>
      </sheetData>
      <sheetData sheetId="12">
        <row r="3">
          <cell r="A3" t="str">
            <v>State</v>
          </cell>
        </row>
      </sheetData>
      <sheetData sheetId="13">
        <row r="2">
          <cell r="A2" t="str">
            <v>State</v>
          </cell>
        </row>
      </sheetData>
      <sheetData sheetId="14">
        <row r="3">
          <cell r="A3" t="str">
            <v>FY</v>
          </cell>
        </row>
      </sheetData>
      <sheetData sheetId="15"/>
      <sheetData sheetId="16">
        <row r="1">
          <cell r="A1" t="str">
            <v>State</v>
          </cell>
        </row>
      </sheetData>
      <sheetData sheetId="17"/>
      <sheetData sheetId="18">
        <row r="3">
          <cell r="A3" t="str">
            <v>Year</v>
          </cell>
          <cell r="B3">
            <v>2004</v>
          </cell>
          <cell r="C3">
            <v>2005</v>
          </cell>
          <cell r="D3">
            <v>2006</v>
          </cell>
          <cell r="E3">
            <v>2007</v>
          </cell>
          <cell r="F3">
            <v>2008</v>
          </cell>
          <cell r="G3">
            <v>2009</v>
          </cell>
          <cell r="H3">
            <v>2010</v>
          </cell>
          <cell r="I3">
            <v>2011</v>
          </cell>
          <cell r="J3">
            <v>2012</v>
          </cell>
          <cell r="K3">
            <v>2013</v>
          </cell>
          <cell r="L3">
            <v>2014</v>
          </cell>
          <cell r="M3">
            <v>2015</v>
          </cell>
          <cell r="N3">
            <v>2016</v>
          </cell>
          <cell r="O3">
            <v>2017</v>
          </cell>
          <cell r="P3">
            <v>2018</v>
          </cell>
          <cell r="Q3">
            <v>2019</v>
          </cell>
          <cell r="R3">
            <v>2020</v>
          </cell>
          <cell r="S3">
            <v>2021</v>
          </cell>
          <cell r="T3">
            <v>2022</v>
          </cell>
          <cell r="U3">
            <v>2023</v>
          </cell>
          <cell r="V3">
            <v>2024</v>
          </cell>
        </row>
        <row r="4">
          <cell r="A4" t="str">
            <v>Alabama</v>
          </cell>
          <cell r="B4">
            <v>3008812</v>
          </cell>
          <cell r="C4">
            <v>3104768.7070270274</v>
          </cell>
          <cell r="D4">
            <v>3239758.6508108112</v>
          </cell>
          <cell r="E4">
            <v>3282044.6572972983</v>
          </cell>
          <cell r="F4">
            <v>3398103.4812540552</v>
          </cell>
          <cell r="G4">
            <v>3522310.4933837852</v>
          </cell>
          <cell r="H4">
            <v>3522310.4933837852</v>
          </cell>
          <cell r="I4">
            <v>3563598.5804154053</v>
          </cell>
          <cell r="J4">
            <v>3689223</v>
          </cell>
          <cell r="K4">
            <v>3768997</v>
          </cell>
          <cell r="L4">
            <v>3805316</v>
          </cell>
          <cell r="M4">
            <v>3868649</v>
          </cell>
          <cell r="N4">
            <v>3875248</v>
          </cell>
          <cell r="O4">
            <v>3938647</v>
          </cell>
          <cell r="P4">
            <v>4019040</v>
          </cell>
          <cell r="Q4">
            <v>4120419</v>
          </cell>
          <cell r="R4">
            <v>4193105</v>
          </cell>
          <cell r="S4">
            <v>4242670</v>
          </cell>
          <cell r="T4">
            <v>4506643</v>
          </cell>
          <cell r="U4">
            <v>4855702</v>
          </cell>
          <cell r="V4">
            <v>5012121</v>
          </cell>
        </row>
        <row r="5">
          <cell r="A5" t="str">
            <v>Alaska</v>
          </cell>
          <cell r="B5">
            <v>800000</v>
          </cell>
          <cell r="C5">
            <v>825513.51351351361</v>
          </cell>
          <cell r="D5">
            <v>861405.40540540544</v>
          </cell>
          <cell r="E5">
            <v>872648.64864864887</v>
          </cell>
          <cell r="F5">
            <v>903507.02702702722</v>
          </cell>
          <cell r="G5">
            <v>936531.89189189218</v>
          </cell>
          <cell r="H5">
            <v>936531.89189189218</v>
          </cell>
          <cell r="I5">
            <v>947509.80265045608</v>
          </cell>
          <cell r="J5">
            <v>980911</v>
          </cell>
          <cell r="K5">
            <v>1002122</v>
          </cell>
          <cell r="L5">
            <v>1011779</v>
          </cell>
          <cell r="M5">
            <v>1028618</v>
          </cell>
          <cell r="N5">
            <v>1030373</v>
          </cell>
          <cell r="O5">
            <v>1047230</v>
          </cell>
          <cell r="P5">
            <v>1068605</v>
          </cell>
          <cell r="Q5">
            <v>1095560</v>
          </cell>
          <cell r="R5">
            <v>1114886</v>
          </cell>
          <cell r="S5">
            <v>1128065</v>
          </cell>
          <cell r="T5">
            <v>1198252</v>
          </cell>
          <cell r="U5">
            <v>1291062</v>
          </cell>
          <cell r="V5">
            <v>1332652</v>
          </cell>
        </row>
        <row r="6">
          <cell r="A6" t="str">
            <v>Arizona</v>
          </cell>
          <cell r="B6">
            <v>2443468</v>
          </cell>
          <cell r="C6">
            <v>2521394.8172972975</v>
          </cell>
          <cell r="D6">
            <v>2631020.6789189191</v>
          </cell>
          <cell r="E6">
            <v>2665361.3102702708</v>
          </cell>
          <cell r="F6">
            <v>2759613.1353945951</v>
          </cell>
          <cell r="G6">
            <v>2860482.1360216225</v>
          </cell>
          <cell r="H6">
            <v>2860482.1360216225</v>
          </cell>
          <cell r="I6">
            <v>2894012.3530783807</v>
          </cell>
          <cell r="J6">
            <v>2996032</v>
          </cell>
          <cell r="K6">
            <v>3060817</v>
          </cell>
          <cell r="L6">
            <v>3090311</v>
          </cell>
          <cell r="M6">
            <v>3141744</v>
          </cell>
          <cell r="N6">
            <v>3147103</v>
          </cell>
          <cell r="O6">
            <v>3198589</v>
          </cell>
          <cell r="P6">
            <v>3263876</v>
          </cell>
          <cell r="Q6">
            <v>3346206</v>
          </cell>
          <cell r="R6">
            <v>3405235</v>
          </cell>
          <cell r="S6">
            <v>3445487</v>
          </cell>
          <cell r="T6">
            <v>3659861</v>
          </cell>
          <cell r="U6">
            <v>3943333</v>
          </cell>
          <cell r="V6">
            <v>4070361</v>
          </cell>
        </row>
        <row r="7">
          <cell r="A7" t="str">
            <v>Arkansas</v>
          </cell>
          <cell r="B7">
            <v>1707733</v>
          </cell>
          <cell r="C7">
            <v>1762195.8362162164</v>
          </cell>
          <cell r="D7">
            <v>1838813.0464864867</v>
          </cell>
          <cell r="E7">
            <v>1862813.6183783789</v>
          </cell>
          <cell r="F7">
            <v>1928685.9572324329</v>
          </cell>
          <cell r="G7">
            <v>1999183.0216702709</v>
          </cell>
          <cell r="H7">
            <v>1999183.0216702709</v>
          </cell>
          <cell r="I7">
            <v>2022617.197262089</v>
          </cell>
          <cell r="J7">
            <v>2093918</v>
          </cell>
          <cell r="K7">
            <v>2139196</v>
          </cell>
          <cell r="L7">
            <v>2159810</v>
          </cell>
          <cell r="M7">
            <v>2195757</v>
          </cell>
          <cell r="N7">
            <v>2199502</v>
          </cell>
          <cell r="O7">
            <v>2235486</v>
          </cell>
          <cell r="P7">
            <v>2281115</v>
          </cell>
          <cell r="Q7">
            <v>2338655</v>
          </cell>
          <cell r="R7">
            <v>2379910</v>
          </cell>
          <cell r="S7">
            <v>2408042</v>
          </cell>
          <cell r="T7">
            <v>2557867</v>
          </cell>
          <cell r="U7">
            <v>2755985</v>
          </cell>
          <cell r="V7">
            <v>2844765</v>
          </cell>
        </row>
        <row r="8">
          <cell r="A8" t="str">
            <v>California</v>
          </cell>
          <cell r="B8">
            <v>17984412</v>
          </cell>
          <cell r="C8">
            <v>18557968.923243247</v>
          </cell>
          <cell r="D8">
            <v>19364837.137297302</v>
          </cell>
          <cell r="E8">
            <v>19617591.035675686</v>
          </cell>
          <cell r="F8">
            <v>20311303.273686495</v>
          </cell>
          <cell r="G8">
            <v>21053719.243654065</v>
          </cell>
          <cell r="H8">
            <v>21053719.243654065</v>
          </cell>
          <cell r="I8">
            <v>21300508.33113062</v>
          </cell>
          <cell r="J8">
            <v>22051394</v>
          </cell>
          <cell r="K8">
            <v>22528221</v>
          </cell>
          <cell r="L8">
            <v>22745306</v>
          </cell>
          <cell r="M8">
            <v>23123865</v>
          </cell>
          <cell r="N8">
            <v>23163308</v>
          </cell>
          <cell r="O8">
            <v>23542257</v>
          </cell>
          <cell r="P8">
            <v>24022785</v>
          </cell>
          <cell r="Q8">
            <v>24628753</v>
          </cell>
          <cell r="R8">
            <v>25063215</v>
          </cell>
          <cell r="S8">
            <v>25359479</v>
          </cell>
          <cell r="T8">
            <v>26937313</v>
          </cell>
          <cell r="U8">
            <v>29023723</v>
          </cell>
          <cell r="V8">
            <v>29958678</v>
          </cell>
        </row>
        <row r="9">
          <cell r="A9" t="str">
            <v>Colorado</v>
          </cell>
          <cell r="B9">
            <v>2200584</v>
          </cell>
          <cell r="C9">
            <v>2270764.7870270275</v>
          </cell>
          <cell r="D9">
            <v>2369493.6908108112</v>
          </cell>
          <cell r="E9">
            <v>2400420.817297298</v>
          </cell>
          <cell r="F9">
            <v>2485303.8844540548</v>
          </cell>
          <cell r="G9">
            <v>2576146.3709837846</v>
          </cell>
          <cell r="H9">
            <v>2576146.3709837846</v>
          </cell>
          <cell r="I9">
            <v>2606343.6394446888</v>
          </cell>
          <cell r="J9">
            <v>2698222</v>
          </cell>
          <cell r="K9">
            <v>2756567</v>
          </cell>
          <cell r="L9">
            <v>2783130</v>
          </cell>
          <cell r="M9">
            <v>2829451</v>
          </cell>
          <cell r="N9">
            <v>2834277</v>
          </cell>
          <cell r="O9">
            <v>2880645</v>
          </cell>
          <cell r="P9">
            <v>2939443</v>
          </cell>
          <cell r="Q9">
            <v>3013590</v>
          </cell>
          <cell r="R9">
            <v>3066751</v>
          </cell>
          <cell r="S9">
            <v>3103002</v>
          </cell>
          <cell r="T9">
            <v>3296067</v>
          </cell>
          <cell r="U9">
            <v>3551361</v>
          </cell>
          <cell r="V9">
            <v>3665763</v>
          </cell>
        </row>
        <row r="10">
          <cell r="A10" t="str">
            <v>Connecticut</v>
          </cell>
          <cell r="B10">
            <v>2354685</v>
          </cell>
          <cell r="C10">
            <v>2429780.3594594598</v>
          </cell>
          <cell r="D10">
            <v>2535422.9837837839</v>
          </cell>
          <cell r="E10">
            <v>2568515.8540540547</v>
          </cell>
          <cell r="F10">
            <v>2659343.0549189197</v>
          </cell>
          <cell r="G10">
            <v>2756546.9973243251</v>
          </cell>
          <cell r="H10">
            <v>2756546.9973243251</v>
          </cell>
          <cell r="I10">
            <v>2788858.8995674863</v>
          </cell>
          <cell r="J10">
            <v>2887172</v>
          </cell>
          <cell r="K10">
            <v>2949603</v>
          </cell>
          <cell r="L10">
            <v>2978026</v>
          </cell>
          <cell r="M10">
            <v>3027590</v>
          </cell>
          <cell r="N10">
            <v>3032754</v>
          </cell>
          <cell r="O10">
            <v>3082369</v>
          </cell>
          <cell r="P10">
            <v>3145284</v>
          </cell>
          <cell r="Q10">
            <v>3224623</v>
          </cell>
          <cell r="R10">
            <v>3281507</v>
          </cell>
          <cell r="S10">
            <v>3320297</v>
          </cell>
          <cell r="T10">
            <v>3526882</v>
          </cell>
          <cell r="U10">
            <v>3800054</v>
          </cell>
          <cell r="V10">
            <v>3922467</v>
          </cell>
        </row>
        <row r="11">
          <cell r="A11" t="str">
            <v>Delaware</v>
          </cell>
          <cell r="B11">
            <v>800000</v>
          </cell>
          <cell r="C11">
            <v>825513.51351351361</v>
          </cell>
          <cell r="D11">
            <v>861405.40540540544</v>
          </cell>
          <cell r="E11">
            <v>872648.64864864887</v>
          </cell>
          <cell r="F11">
            <v>903507.02702702722</v>
          </cell>
          <cell r="G11">
            <v>936531.89189189218</v>
          </cell>
          <cell r="H11">
            <v>936531.89189189218</v>
          </cell>
          <cell r="I11">
            <v>947509.80265045608</v>
          </cell>
          <cell r="J11">
            <v>980911</v>
          </cell>
          <cell r="K11">
            <v>1002122</v>
          </cell>
          <cell r="L11">
            <v>1011779</v>
          </cell>
          <cell r="M11">
            <v>1028618</v>
          </cell>
          <cell r="N11">
            <v>1030373</v>
          </cell>
          <cell r="O11">
            <v>1047230</v>
          </cell>
          <cell r="P11">
            <v>1068605</v>
          </cell>
          <cell r="Q11">
            <v>1095560</v>
          </cell>
          <cell r="R11">
            <v>1114886</v>
          </cell>
          <cell r="S11">
            <v>1128065</v>
          </cell>
          <cell r="T11">
            <v>1198252</v>
          </cell>
          <cell r="U11">
            <v>1291062</v>
          </cell>
          <cell r="V11">
            <v>1332652</v>
          </cell>
        </row>
        <row r="12">
          <cell r="A12" t="str">
            <v>District of Columbia</v>
          </cell>
          <cell r="B12">
            <v>800000</v>
          </cell>
          <cell r="C12">
            <v>825513.51351351361</v>
          </cell>
          <cell r="D12">
            <v>861405.40540540544</v>
          </cell>
          <cell r="E12">
            <v>872648.64864864887</v>
          </cell>
          <cell r="F12">
            <v>903507.02702702722</v>
          </cell>
          <cell r="G12">
            <v>936531.89189189218</v>
          </cell>
          <cell r="H12">
            <v>936531.89189189218</v>
          </cell>
          <cell r="I12">
            <v>947509.80265045608</v>
          </cell>
          <cell r="J12">
            <v>980911</v>
          </cell>
          <cell r="K12">
            <v>1002122</v>
          </cell>
          <cell r="L12">
            <v>1011779</v>
          </cell>
          <cell r="M12">
            <v>1028618</v>
          </cell>
          <cell r="N12">
            <v>1030373</v>
          </cell>
          <cell r="O12">
            <v>1047230</v>
          </cell>
          <cell r="P12">
            <v>1068605</v>
          </cell>
          <cell r="Q12">
            <v>1095560</v>
          </cell>
          <cell r="R12">
            <v>1114886</v>
          </cell>
          <cell r="S12">
            <v>1128065</v>
          </cell>
          <cell r="T12">
            <v>1198252</v>
          </cell>
          <cell r="U12">
            <v>1291062</v>
          </cell>
          <cell r="V12">
            <v>1332652</v>
          </cell>
        </row>
        <row r="13">
          <cell r="A13" t="str">
            <v>Florida</v>
          </cell>
          <cell r="B13">
            <v>9941092</v>
          </cell>
          <cell r="C13">
            <v>10258132.231351353</v>
          </cell>
          <cell r="D13">
            <v>10704137.980540542</v>
          </cell>
          <cell r="E13">
            <v>10843850.624864869</v>
          </cell>
          <cell r="F13">
            <v>11227308.097902706</v>
          </cell>
          <cell r="G13">
            <v>11637687.122789193</v>
          </cell>
          <cell r="H13">
            <v>11637687.122789193</v>
          </cell>
          <cell r="I13">
            <v>11774102.648812534</v>
          </cell>
          <cell r="J13">
            <v>12189163</v>
          </cell>
          <cell r="K13">
            <v>12452735</v>
          </cell>
          <cell r="L13">
            <v>12572731</v>
          </cell>
          <cell r="M13">
            <v>12781984</v>
          </cell>
          <cell r="N13">
            <v>12803787</v>
          </cell>
          <cell r="O13">
            <v>13013255</v>
          </cell>
          <cell r="P13">
            <v>13278872</v>
          </cell>
          <cell r="Q13">
            <v>13613828</v>
          </cell>
          <cell r="R13">
            <v>13853982</v>
          </cell>
          <cell r="S13">
            <v>14017745</v>
          </cell>
          <cell r="T13">
            <v>14889911</v>
          </cell>
          <cell r="U13">
            <v>16043198</v>
          </cell>
          <cell r="V13">
            <v>16560005</v>
          </cell>
        </row>
        <row r="14">
          <cell r="A14" t="str">
            <v>Georgia</v>
          </cell>
          <cell r="B14">
            <v>4345983</v>
          </cell>
          <cell r="C14">
            <v>4484584.62</v>
          </cell>
          <cell r="D14">
            <v>4679566.5599999996</v>
          </cell>
          <cell r="E14">
            <v>4740645.24</v>
          </cell>
          <cell r="F14">
            <v>4908282.7248</v>
          </cell>
          <cell r="G14">
            <v>5087689.6014</v>
          </cell>
          <cell r="H14">
            <v>5087689.6014</v>
          </cell>
          <cell r="I14">
            <v>5147326.8683152944</v>
          </cell>
          <cell r="J14">
            <v>5328780</v>
          </cell>
          <cell r="K14">
            <v>5444007</v>
          </cell>
          <cell r="L14">
            <v>5496466</v>
          </cell>
          <cell r="M14">
            <v>5587946</v>
          </cell>
          <cell r="N14">
            <v>5597478</v>
          </cell>
          <cell r="O14">
            <v>5689052</v>
          </cell>
          <cell r="P14">
            <v>5805173</v>
          </cell>
          <cell r="Q14">
            <v>5951607</v>
          </cell>
          <cell r="R14">
            <v>6056596</v>
          </cell>
          <cell r="S14">
            <v>6128189</v>
          </cell>
          <cell r="T14">
            <v>6509477</v>
          </cell>
          <cell r="U14">
            <v>7013664</v>
          </cell>
          <cell r="V14">
            <v>7239598</v>
          </cell>
        </row>
        <row r="15">
          <cell r="A15" t="str">
            <v>Hawaii</v>
          </cell>
          <cell r="B15">
            <v>800000</v>
          </cell>
          <cell r="C15">
            <v>825513.51351351361</v>
          </cell>
          <cell r="D15">
            <v>861405.40540540544</v>
          </cell>
          <cell r="E15">
            <v>872648.64864864887</v>
          </cell>
          <cell r="F15">
            <v>903507.02702702722</v>
          </cell>
          <cell r="G15">
            <v>936531.89189189218</v>
          </cell>
          <cell r="H15">
            <v>936531.89189189218</v>
          </cell>
          <cell r="I15">
            <v>947509.80265045608</v>
          </cell>
          <cell r="J15">
            <v>980911</v>
          </cell>
          <cell r="K15">
            <v>1002122</v>
          </cell>
          <cell r="L15">
            <v>1011779</v>
          </cell>
          <cell r="M15">
            <v>1028618</v>
          </cell>
          <cell r="N15">
            <v>1030373</v>
          </cell>
          <cell r="O15">
            <v>1047230</v>
          </cell>
          <cell r="P15">
            <v>1068605</v>
          </cell>
          <cell r="Q15">
            <v>1095560</v>
          </cell>
          <cell r="R15">
            <v>1114886</v>
          </cell>
          <cell r="S15">
            <v>1128065</v>
          </cell>
          <cell r="T15">
            <v>1198252</v>
          </cell>
          <cell r="U15">
            <v>1291062</v>
          </cell>
          <cell r="V15">
            <v>1332652</v>
          </cell>
        </row>
        <row r="16">
          <cell r="A16" t="str">
            <v>Idaho</v>
          </cell>
          <cell r="B16">
            <v>800000</v>
          </cell>
          <cell r="C16">
            <v>825513.51351351361</v>
          </cell>
          <cell r="D16">
            <v>861405.40540540544</v>
          </cell>
          <cell r="E16">
            <v>872648.64864864887</v>
          </cell>
          <cell r="F16">
            <v>903507.02702702722</v>
          </cell>
          <cell r="G16">
            <v>936531.89189189218</v>
          </cell>
          <cell r="H16">
            <v>936531.89189189218</v>
          </cell>
          <cell r="I16">
            <v>947509.80265045608</v>
          </cell>
          <cell r="J16">
            <v>980911</v>
          </cell>
          <cell r="K16">
            <v>1002122</v>
          </cell>
          <cell r="L16">
            <v>1011779</v>
          </cell>
          <cell r="M16">
            <v>1028618</v>
          </cell>
          <cell r="N16">
            <v>1030373</v>
          </cell>
          <cell r="O16">
            <v>1047230</v>
          </cell>
          <cell r="P16">
            <v>1068605</v>
          </cell>
          <cell r="Q16">
            <v>1095560</v>
          </cell>
          <cell r="R16">
            <v>1114886</v>
          </cell>
          <cell r="S16">
            <v>1128065</v>
          </cell>
          <cell r="T16">
            <v>1198252</v>
          </cell>
          <cell r="U16">
            <v>1291062</v>
          </cell>
          <cell r="V16">
            <v>1332652</v>
          </cell>
        </row>
        <row r="17">
          <cell r="A17" t="str">
            <v>Illinois</v>
          </cell>
          <cell r="B17">
            <v>8145623</v>
          </cell>
          <cell r="C17">
            <v>8405402.3281081095</v>
          </cell>
          <cell r="D17">
            <v>8770854.6032432448</v>
          </cell>
          <cell r="E17">
            <v>8885333.6291891914</v>
          </cell>
          <cell r="F17">
            <v>9199534.5250162184</v>
          </cell>
          <cell r="G17">
            <v>9535794.648535138</v>
          </cell>
          <cell r="H17">
            <v>9535794.648535138</v>
          </cell>
          <cell r="I17">
            <v>9647572.0514937695</v>
          </cell>
          <cell r="J17">
            <v>9987668</v>
          </cell>
          <cell r="K17">
            <v>10203636</v>
          </cell>
          <cell r="L17">
            <v>10301960</v>
          </cell>
          <cell r="M17">
            <v>10473420</v>
          </cell>
          <cell r="N17">
            <v>10491285</v>
          </cell>
          <cell r="O17">
            <v>10662921</v>
          </cell>
          <cell r="P17">
            <v>10880565</v>
          </cell>
          <cell r="Q17">
            <v>11155024</v>
          </cell>
          <cell r="R17">
            <v>11351803</v>
          </cell>
          <cell r="S17">
            <v>11485989</v>
          </cell>
          <cell r="T17">
            <v>12200632</v>
          </cell>
          <cell r="U17">
            <v>13145623</v>
          </cell>
          <cell r="V17">
            <v>13569089</v>
          </cell>
        </row>
        <row r="18">
          <cell r="A18" t="str">
            <v>Indiana</v>
          </cell>
          <cell r="B18">
            <v>4258647</v>
          </cell>
          <cell r="C18">
            <v>4394463.3097297298</v>
          </cell>
          <cell r="D18">
            <v>4585526.9318918921</v>
          </cell>
          <cell r="E18">
            <v>4645378.1870270278</v>
          </cell>
          <cell r="F18">
            <v>4809646.8626594599</v>
          </cell>
          <cell r="G18">
            <v>4985448.4147621626</v>
          </cell>
          <cell r="H18">
            <v>4985448.4147621626</v>
          </cell>
          <cell r="I18">
            <v>5043887.2231599446</v>
          </cell>
          <cell r="J18">
            <v>5221694</v>
          </cell>
          <cell r="K18">
            <v>5334605</v>
          </cell>
          <cell r="L18">
            <v>5386010</v>
          </cell>
          <cell r="M18">
            <v>5475652</v>
          </cell>
          <cell r="N18">
            <v>5484992</v>
          </cell>
          <cell r="O18">
            <v>5574726</v>
          </cell>
          <cell r="P18">
            <v>5688513</v>
          </cell>
          <cell r="Q18">
            <v>5832004</v>
          </cell>
          <cell r="R18">
            <v>5934883</v>
          </cell>
          <cell r="S18">
            <v>6005037</v>
          </cell>
          <cell r="T18">
            <v>6378663</v>
          </cell>
          <cell r="U18">
            <v>6872718</v>
          </cell>
          <cell r="V18">
            <v>7094112</v>
          </cell>
        </row>
        <row r="19">
          <cell r="A19" t="str">
            <v>Iowa</v>
          </cell>
          <cell r="B19">
            <v>2094894</v>
          </cell>
          <cell r="C19">
            <v>2161704.1329729734</v>
          </cell>
          <cell r="D19">
            <v>2255691.2691891897</v>
          </cell>
          <cell r="E19">
            <v>2285133.0227027037</v>
          </cell>
          <cell r="F19">
            <v>2365939.3123459467</v>
          </cell>
          <cell r="G19">
            <v>2452418.8014162169</v>
          </cell>
          <cell r="H19">
            <v>2452418.8014162169</v>
          </cell>
          <cell r="I19">
            <v>2481165.7506420305</v>
          </cell>
          <cell r="J19">
            <v>2568632</v>
          </cell>
          <cell r="K19">
            <v>2624175</v>
          </cell>
          <cell r="L19">
            <v>2649462</v>
          </cell>
          <cell r="M19">
            <v>2693558</v>
          </cell>
          <cell r="N19">
            <v>2698153</v>
          </cell>
          <cell r="O19">
            <v>2742294</v>
          </cell>
          <cell r="P19">
            <v>2798268</v>
          </cell>
          <cell r="Q19">
            <v>2868853</v>
          </cell>
          <cell r="R19">
            <v>2919461</v>
          </cell>
          <cell r="S19">
            <v>2953971</v>
          </cell>
          <cell r="T19">
            <v>3137763</v>
          </cell>
          <cell r="U19">
            <v>3380796</v>
          </cell>
          <cell r="V19">
            <v>3489703</v>
          </cell>
        </row>
        <row r="20">
          <cell r="A20" t="str">
            <v>Kansas</v>
          </cell>
          <cell r="B20">
            <v>1704623</v>
          </cell>
          <cell r="C20">
            <v>1758986.6524324326</v>
          </cell>
          <cell r="D20">
            <v>1835464.3329729731</v>
          </cell>
          <cell r="E20">
            <v>1859421.1967567571</v>
          </cell>
          <cell r="F20">
            <v>1925173.5736648652</v>
          </cell>
          <cell r="G20">
            <v>1995542.2539405411</v>
          </cell>
          <cell r="H20">
            <v>1995542.2539405411</v>
          </cell>
          <cell r="I20">
            <v>2018933.7529042852</v>
          </cell>
          <cell r="J20">
            <v>2090105</v>
          </cell>
          <cell r="K20">
            <v>2135300</v>
          </cell>
          <cell r="L20">
            <v>2155876</v>
          </cell>
          <cell r="M20">
            <v>2191757</v>
          </cell>
          <cell r="N20">
            <v>2195496</v>
          </cell>
          <cell r="O20">
            <v>2231414</v>
          </cell>
          <cell r="P20">
            <v>2276960</v>
          </cell>
          <cell r="Q20">
            <v>2334396</v>
          </cell>
          <cell r="R20">
            <v>2375576</v>
          </cell>
          <cell r="S20">
            <v>2403657</v>
          </cell>
          <cell r="T20">
            <v>2553209</v>
          </cell>
          <cell r="U20">
            <v>2750966</v>
          </cell>
          <cell r="V20">
            <v>2839584</v>
          </cell>
        </row>
        <row r="21">
          <cell r="A21" t="str">
            <v>Kentucky</v>
          </cell>
          <cell r="B21">
            <v>2618787</v>
          </cell>
          <cell r="C21">
            <v>2702305.0718918922</v>
          </cell>
          <cell r="D21">
            <v>2819796.5967567572</v>
          </cell>
          <cell r="E21">
            <v>2856601.1708108117</v>
          </cell>
          <cell r="F21">
            <v>2957615.5709837847</v>
          </cell>
          <cell r="G21">
            <v>3065721.9294648659</v>
          </cell>
          <cell r="H21">
            <v>3065721.9294648659</v>
          </cell>
          <cell r="I21">
            <v>3101657.9419419747</v>
          </cell>
          <cell r="J21">
            <v>3210998</v>
          </cell>
          <cell r="K21">
            <v>3280431</v>
          </cell>
          <cell r="L21">
            <v>3312042</v>
          </cell>
          <cell r="M21">
            <v>3367166</v>
          </cell>
          <cell r="N21">
            <v>3372910</v>
          </cell>
          <cell r="O21">
            <v>3428090</v>
          </cell>
          <cell r="P21">
            <v>3498062</v>
          </cell>
          <cell r="Q21">
            <v>3586300</v>
          </cell>
          <cell r="R21">
            <v>3649564</v>
          </cell>
          <cell r="S21">
            <v>3692704</v>
          </cell>
          <cell r="T21">
            <v>3922459</v>
          </cell>
          <cell r="U21">
            <v>4226270</v>
          </cell>
          <cell r="V21">
            <v>4362413</v>
          </cell>
        </row>
        <row r="22">
          <cell r="A22" t="str">
            <v>Louisiana</v>
          </cell>
          <cell r="B22">
            <v>2856959</v>
          </cell>
          <cell r="C22">
            <v>2948072.827567568</v>
          </cell>
          <cell r="D22">
            <v>3076249.9070270276</v>
          </cell>
          <cell r="E22">
            <v>3116401.7632432445</v>
          </cell>
          <cell r="F22">
            <v>3226603.1655351361</v>
          </cell>
          <cell r="G22">
            <v>3344541.5216594609</v>
          </cell>
          <cell r="H22">
            <v>3344541.5216594609</v>
          </cell>
          <cell r="I22">
            <v>3383745.8228380554</v>
          </cell>
          <cell r="J22">
            <v>3503030</v>
          </cell>
          <cell r="K22">
            <v>3578778</v>
          </cell>
          <cell r="L22">
            <v>3613264</v>
          </cell>
          <cell r="M22">
            <v>3673401</v>
          </cell>
          <cell r="N22">
            <v>3679667</v>
          </cell>
          <cell r="O22">
            <v>3739866</v>
          </cell>
          <cell r="P22">
            <v>3816201</v>
          </cell>
          <cell r="Q22">
            <v>3912464</v>
          </cell>
          <cell r="R22">
            <v>3981482</v>
          </cell>
          <cell r="S22">
            <v>4028546</v>
          </cell>
          <cell r="T22">
            <v>4279197</v>
          </cell>
          <cell r="U22">
            <v>4610639</v>
          </cell>
          <cell r="V22">
            <v>4759164</v>
          </cell>
        </row>
        <row r="23">
          <cell r="A23" t="str">
            <v>Maine</v>
          </cell>
          <cell r="B23">
            <v>1002763</v>
          </cell>
          <cell r="C23">
            <v>1034743.0091891893</v>
          </cell>
          <cell r="D23">
            <v>1079731.8356756757</v>
          </cell>
          <cell r="E23">
            <v>1093824.7210810813</v>
          </cell>
          <cell r="F23">
            <v>1132504.2711783785</v>
          </cell>
          <cell r="G23">
            <v>1173899.4118864867</v>
          </cell>
          <cell r="H23">
            <v>1173899.4118864867</v>
          </cell>
          <cell r="I23">
            <v>1187659.7152939739</v>
          </cell>
          <cell r="J23">
            <v>1229527</v>
          </cell>
          <cell r="K23">
            <v>1256114</v>
          </cell>
          <cell r="L23">
            <v>1268218</v>
          </cell>
          <cell r="M23">
            <v>1289325</v>
          </cell>
          <cell r="N23">
            <v>1291524</v>
          </cell>
          <cell r="O23">
            <v>1312653</v>
          </cell>
          <cell r="P23">
            <v>1339446</v>
          </cell>
          <cell r="Q23">
            <v>1373233</v>
          </cell>
          <cell r="R23">
            <v>1397457</v>
          </cell>
          <cell r="S23">
            <v>1413976</v>
          </cell>
          <cell r="T23">
            <v>1501952</v>
          </cell>
          <cell r="U23">
            <v>1618285</v>
          </cell>
          <cell r="V23">
            <v>1670416</v>
          </cell>
        </row>
        <row r="24">
          <cell r="A24" t="str">
            <v>Maryland</v>
          </cell>
          <cell r="B24">
            <v>3222132</v>
          </cell>
          <cell r="C24">
            <v>3324891.8854054059</v>
          </cell>
          <cell r="D24">
            <v>3469452.4021621626</v>
          </cell>
          <cell r="E24">
            <v>3514736.4194594603</v>
          </cell>
          <cell r="F24">
            <v>3639023.6300108116</v>
          </cell>
          <cell r="G24">
            <v>3772036.7223567576</v>
          </cell>
          <cell r="H24">
            <v>3772036.7223567576</v>
          </cell>
          <cell r="I24">
            <v>3816252.0692921486</v>
          </cell>
          <cell r="J24">
            <v>3950783</v>
          </cell>
          <cell r="K24">
            <v>4036213</v>
          </cell>
          <cell r="L24">
            <v>4075106</v>
          </cell>
          <cell r="M24">
            <v>4142930</v>
          </cell>
          <cell r="N24">
            <v>4149997</v>
          </cell>
          <cell r="O24">
            <v>4217890</v>
          </cell>
          <cell r="P24">
            <v>4303983</v>
          </cell>
          <cell r="Q24">
            <v>4412550</v>
          </cell>
          <cell r="R24">
            <v>4490389</v>
          </cell>
          <cell r="S24">
            <v>4543468</v>
          </cell>
          <cell r="T24">
            <v>4826157</v>
          </cell>
          <cell r="U24">
            <v>5199963</v>
          </cell>
          <cell r="V24">
            <v>5367472</v>
          </cell>
        </row>
        <row r="25">
          <cell r="A25" t="str">
            <v>Massachusetts</v>
          </cell>
          <cell r="B25">
            <v>4897191</v>
          </cell>
          <cell r="C25">
            <v>5053371.6859459467</v>
          </cell>
          <cell r="D25">
            <v>5273083.4983783793</v>
          </cell>
          <cell r="E25">
            <v>5341908.8854054073</v>
          </cell>
          <cell r="F25">
            <v>5530808.1014918936</v>
          </cell>
          <cell r="G25">
            <v>5732969.4402324343</v>
          </cell>
          <cell r="H25">
            <v>5732969.4402324343</v>
          </cell>
          <cell r="I25">
            <v>5800170.5974394865</v>
          </cell>
          <cell r="J25">
            <v>6004638</v>
          </cell>
          <cell r="K25">
            <v>6134479</v>
          </cell>
          <cell r="L25">
            <v>6193592</v>
          </cell>
          <cell r="M25">
            <v>6296674</v>
          </cell>
          <cell r="N25">
            <v>6307415</v>
          </cell>
          <cell r="O25">
            <v>6410604</v>
          </cell>
          <cell r="P25">
            <v>6541453</v>
          </cell>
          <cell r="Q25">
            <v>6706459</v>
          </cell>
          <cell r="R25">
            <v>6824764</v>
          </cell>
          <cell r="S25">
            <v>6905437</v>
          </cell>
          <cell r="T25">
            <v>7335084</v>
          </cell>
          <cell r="U25">
            <v>7903218</v>
          </cell>
          <cell r="V25">
            <v>8157808</v>
          </cell>
        </row>
        <row r="26">
          <cell r="A26" t="str">
            <v>Michigan</v>
          </cell>
          <cell r="B26">
            <v>5960498</v>
          </cell>
          <cell r="C26">
            <v>6150589.5578378383</v>
          </cell>
          <cell r="D26">
            <v>6418006.495135135</v>
          </cell>
          <cell r="E26">
            <v>6501775.6562162172</v>
          </cell>
          <cell r="F26">
            <v>6731689.7844756767</v>
          </cell>
          <cell r="G26">
            <v>6977745.5856972989</v>
          </cell>
          <cell r="H26">
            <v>6977745.5856972989</v>
          </cell>
          <cell r="I26">
            <v>7059537.8545980463</v>
          </cell>
          <cell r="J26">
            <v>7308401</v>
          </cell>
          <cell r="K26">
            <v>7466434</v>
          </cell>
          <cell r="L26">
            <v>7538382</v>
          </cell>
          <cell r="M26">
            <v>7663846</v>
          </cell>
          <cell r="N26">
            <v>7676919</v>
          </cell>
          <cell r="O26">
            <v>7802512</v>
          </cell>
          <cell r="P26">
            <v>7961771</v>
          </cell>
          <cell r="Q26">
            <v>8162604</v>
          </cell>
          <cell r="R26">
            <v>8306596</v>
          </cell>
          <cell r="S26">
            <v>8404785</v>
          </cell>
          <cell r="T26">
            <v>8927720</v>
          </cell>
          <cell r="U26">
            <v>9619210</v>
          </cell>
          <cell r="V26">
            <v>9929078</v>
          </cell>
        </row>
        <row r="27">
          <cell r="A27" t="str">
            <v>Minnesota</v>
          </cell>
          <cell r="B27">
            <v>3117243</v>
          </cell>
          <cell r="C27">
            <v>3216657.7767567569</v>
          </cell>
          <cell r="D27">
            <v>3356512.4627027027</v>
          </cell>
          <cell r="E27">
            <v>3400322.3643243248</v>
          </cell>
          <cell r="F27">
            <v>3520563.6943135136</v>
          </cell>
          <cell r="G27">
            <v>3649246.8553459463</v>
          </cell>
          <cell r="H27">
            <v>3649246.8553459463</v>
          </cell>
          <cell r="I27">
            <v>3692022.8746793936</v>
          </cell>
          <cell r="J27">
            <v>3822174</v>
          </cell>
          <cell r="K27">
            <v>3904823</v>
          </cell>
          <cell r="L27">
            <v>3942450</v>
          </cell>
          <cell r="M27">
            <v>4008066</v>
          </cell>
          <cell r="N27">
            <v>4014903</v>
          </cell>
          <cell r="O27">
            <v>4080586</v>
          </cell>
          <cell r="P27">
            <v>4163876</v>
          </cell>
          <cell r="Q27">
            <v>4268909</v>
          </cell>
          <cell r="R27">
            <v>4344214</v>
          </cell>
          <cell r="S27">
            <v>4395565</v>
          </cell>
          <cell r="T27">
            <v>4669051</v>
          </cell>
          <cell r="U27">
            <v>5030689</v>
          </cell>
          <cell r="V27">
            <v>5192745</v>
          </cell>
        </row>
        <row r="28">
          <cell r="A28" t="str">
            <v>Mississippi</v>
          </cell>
          <cell r="B28">
            <v>2015632</v>
          </cell>
          <cell r="C28">
            <v>2079914.3178378381</v>
          </cell>
          <cell r="D28">
            <v>2170345.3751351354</v>
          </cell>
          <cell r="E28">
            <v>2198673.1762162168</v>
          </cell>
          <cell r="F28">
            <v>2276422.0948756761</v>
          </cell>
          <cell r="G28">
            <v>2359629.562897298</v>
          </cell>
          <cell r="H28">
            <v>2359629.562897298</v>
          </cell>
          <cell r="I28">
            <v>2387288.8481699298</v>
          </cell>
          <cell r="J28">
            <v>2471446</v>
          </cell>
          <cell r="K28">
            <v>2524887</v>
          </cell>
          <cell r="L28">
            <v>2549217</v>
          </cell>
          <cell r="M28">
            <v>2591645</v>
          </cell>
          <cell r="N28">
            <v>2596066</v>
          </cell>
          <cell r="O28">
            <v>2638537</v>
          </cell>
          <cell r="P28">
            <v>2692393</v>
          </cell>
          <cell r="Q28">
            <v>2760308</v>
          </cell>
          <cell r="R28">
            <v>2809001</v>
          </cell>
          <cell r="S28">
            <v>2842205</v>
          </cell>
          <cell r="T28">
            <v>3019043</v>
          </cell>
          <cell r="U28">
            <v>3252881</v>
          </cell>
          <cell r="V28">
            <v>3357668</v>
          </cell>
        </row>
        <row r="29">
          <cell r="A29" t="str">
            <v>Missouri</v>
          </cell>
          <cell r="B29">
            <v>3869022</v>
          </cell>
          <cell r="C29">
            <v>3992412.431351352</v>
          </cell>
          <cell r="D29">
            <v>4165995.5805405411</v>
          </cell>
          <cell r="E29">
            <v>4220371.0248648664</v>
          </cell>
          <cell r="F29">
            <v>4369610.705902704</v>
          </cell>
          <cell r="G29">
            <v>4529328.116789191</v>
          </cell>
          <cell r="H29">
            <v>4529328.116789191</v>
          </cell>
          <cell r="I29">
            <v>4582420.3395878412</v>
          </cell>
          <cell r="J29">
            <v>4743960</v>
          </cell>
          <cell r="K29">
            <v>4846541</v>
          </cell>
          <cell r="L29">
            <v>4893243</v>
          </cell>
          <cell r="M29">
            <v>4974683</v>
          </cell>
          <cell r="N29">
            <v>4983169</v>
          </cell>
          <cell r="O29">
            <v>5064693</v>
          </cell>
          <cell r="P29">
            <v>5168070</v>
          </cell>
          <cell r="Q29">
            <v>5298433</v>
          </cell>
          <cell r="R29">
            <v>5391900</v>
          </cell>
          <cell r="S29">
            <v>5455636</v>
          </cell>
          <cell r="T29">
            <v>5795079</v>
          </cell>
          <cell r="U29">
            <v>6243933</v>
          </cell>
          <cell r="V29">
            <v>6445072</v>
          </cell>
        </row>
        <row r="30">
          <cell r="A30" t="str">
            <v>Montana</v>
          </cell>
          <cell r="B30">
            <v>800000</v>
          </cell>
          <cell r="C30">
            <v>825513.51351351361</v>
          </cell>
          <cell r="D30">
            <v>861405.40540540544</v>
          </cell>
          <cell r="E30">
            <v>872648.64864864887</v>
          </cell>
          <cell r="F30">
            <v>903507.02702702722</v>
          </cell>
          <cell r="G30">
            <v>936531.89189189218</v>
          </cell>
          <cell r="H30">
            <v>936531.89189189218</v>
          </cell>
          <cell r="I30">
            <v>947509.80265045608</v>
          </cell>
          <cell r="J30">
            <v>980911</v>
          </cell>
          <cell r="K30">
            <v>1002122</v>
          </cell>
          <cell r="L30">
            <v>1011779</v>
          </cell>
          <cell r="M30">
            <v>1028618</v>
          </cell>
          <cell r="N30">
            <v>1030373</v>
          </cell>
          <cell r="O30">
            <v>1047230</v>
          </cell>
          <cell r="P30">
            <v>1068605</v>
          </cell>
          <cell r="Q30">
            <v>1095560</v>
          </cell>
          <cell r="R30">
            <v>1114886</v>
          </cell>
          <cell r="S30">
            <v>1128065</v>
          </cell>
          <cell r="T30">
            <v>1198252</v>
          </cell>
          <cell r="U30">
            <v>1291062</v>
          </cell>
          <cell r="V30">
            <v>1332652</v>
          </cell>
        </row>
        <row r="31">
          <cell r="A31" t="str">
            <v>Nebraska</v>
          </cell>
          <cell r="B31">
            <v>1228093</v>
          </cell>
          <cell r="C31">
            <v>1267259.2091891894</v>
          </cell>
          <cell r="D31">
            <v>1322357.4356756757</v>
          </cell>
          <cell r="E31">
            <v>1339617.1210810815</v>
          </cell>
          <cell r="F31">
            <v>1386988.3191783787</v>
          </cell>
          <cell r="G31">
            <v>1437685.3258864868</v>
          </cell>
          <cell r="H31">
            <v>1437685.3258864868</v>
          </cell>
          <cell r="I31">
            <v>1454537.6950830079</v>
          </cell>
          <cell r="J31">
            <v>1505813</v>
          </cell>
          <cell r="K31">
            <v>1538374</v>
          </cell>
          <cell r="L31">
            <v>1553198</v>
          </cell>
          <cell r="M31">
            <v>1579048</v>
          </cell>
          <cell r="N31">
            <v>1581741</v>
          </cell>
          <cell r="O31">
            <v>1607618</v>
          </cell>
          <cell r="P31">
            <v>1640432</v>
          </cell>
          <cell r="Q31">
            <v>1681811</v>
          </cell>
          <cell r="R31">
            <v>1711479</v>
          </cell>
          <cell r="S31">
            <v>1731710</v>
          </cell>
          <cell r="T31">
            <v>1839455</v>
          </cell>
          <cell r="U31">
            <v>1981929</v>
          </cell>
          <cell r="V31">
            <v>2045774</v>
          </cell>
        </row>
        <row r="32">
          <cell r="A32" t="str">
            <v>Nevada</v>
          </cell>
          <cell r="B32">
            <v>923002</v>
          </cell>
          <cell r="C32">
            <v>952438.28000000014</v>
          </cell>
          <cell r="D32">
            <v>993848.64000000013</v>
          </cell>
          <cell r="E32">
            <v>1006820.5600000003</v>
          </cell>
          <cell r="F32">
            <v>1042423.4912000003</v>
          </cell>
          <cell r="G32">
            <v>1080526.0116000003</v>
          </cell>
          <cell r="H32">
            <v>1080526.0116000003</v>
          </cell>
          <cell r="I32">
            <v>1093191.8035824702</v>
          </cell>
          <cell r="J32">
            <v>1131729</v>
          </cell>
          <cell r="K32">
            <v>1156201</v>
          </cell>
          <cell r="L32">
            <v>1167342</v>
          </cell>
          <cell r="M32">
            <v>1186771</v>
          </cell>
          <cell r="N32">
            <v>1188795</v>
          </cell>
          <cell r="O32">
            <v>1208244</v>
          </cell>
          <cell r="P32">
            <v>1232906</v>
          </cell>
          <cell r="Q32">
            <v>1264006</v>
          </cell>
          <cell r="R32">
            <v>1286304</v>
          </cell>
          <cell r="S32">
            <v>1301509</v>
          </cell>
          <cell r="T32">
            <v>1382487</v>
          </cell>
          <cell r="U32">
            <v>1489567</v>
          </cell>
          <cell r="V32">
            <v>1537551</v>
          </cell>
        </row>
        <row r="33">
          <cell r="A33" t="str">
            <v>New Hampshire</v>
          </cell>
          <cell r="B33">
            <v>813617</v>
          </cell>
          <cell r="C33">
            <v>839564.78540540545</v>
          </cell>
          <cell r="D33">
            <v>876067.60216216219</v>
          </cell>
          <cell r="E33">
            <v>887502.21945945965</v>
          </cell>
          <cell r="F33">
            <v>918885.84601081093</v>
          </cell>
          <cell r="G33">
            <v>952472.83535675693</v>
          </cell>
          <cell r="H33">
            <v>952472.83535675693</v>
          </cell>
          <cell r="I33">
            <v>963637.60387881997</v>
          </cell>
          <cell r="J33">
            <v>997608</v>
          </cell>
          <cell r="K33">
            <v>1019180</v>
          </cell>
          <cell r="L33">
            <v>1029001</v>
          </cell>
          <cell r="M33">
            <v>1046127</v>
          </cell>
          <cell r="N33">
            <v>1047911</v>
          </cell>
          <cell r="O33">
            <v>1065055</v>
          </cell>
          <cell r="P33">
            <v>1086794</v>
          </cell>
          <cell r="Q33">
            <v>1114208</v>
          </cell>
          <cell r="R33">
            <v>1133863</v>
          </cell>
          <cell r="S33">
            <v>1147266</v>
          </cell>
          <cell r="T33">
            <v>1218647</v>
          </cell>
          <cell r="U33">
            <v>1313036</v>
          </cell>
          <cell r="V33">
            <v>1355333</v>
          </cell>
        </row>
        <row r="34">
          <cell r="A34" t="str">
            <v>New Jersey</v>
          </cell>
          <cell r="B34">
            <v>6232884</v>
          </cell>
          <cell r="C34">
            <v>6431662.4627027037</v>
          </cell>
          <cell r="D34">
            <v>6711299.961081082</v>
          </cell>
          <cell r="E34">
            <v>6798897.2497297321</v>
          </cell>
          <cell r="F34">
            <v>7039318.1158054071</v>
          </cell>
          <cell r="G34">
            <v>7296618.3055783808</v>
          </cell>
          <cell r="H34">
            <v>7296618.3055783808</v>
          </cell>
          <cell r="I34">
            <v>7382148.3609789815</v>
          </cell>
          <cell r="J34">
            <v>7642384</v>
          </cell>
          <cell r="K34">
            <v>7807639</v>
          </cell>
          <cell r="L34">
            <v>7882874</v>
          </cell>
          <cell r="M34">
            <v>8014072</v>
          </cell>
          <cell r="N34">
            <v>8027742</v>
          </cell>
          <cell r="O34">
            <v>8159075</v>
          </cell>
          <cell r="P34">
            <v>8325612</v>
          </cell>
          <cell r="Q34">
            <v>8535623</v>
          </cell>
          <cell r="R34">
            <v>8686195</v>
          </cell>
          <cell r="S34">
            <v>8788872</v>
          </cell>
          <cell r="T34">
            <v>9335704</v>
          </cell>
          <cell r="U34">
            <v>10058794</v>
          </cell>
          <cell r="V34">
            <v>10382823</v>
          </cell>
        </row>
        <row r="35">
          <cell r="A35" t="str">
            <v>New Mexico</v>
          </cell>
          <cell r="B35">
            <v>1512798</v>
          </cell>
          <cell r="C35">
            <v>1561043.9902702705</v>
          </cell>
          <cell r="D35">
            <v>1628915.4681081083</v>
          </cell>
          <cell r="E35">
            <v>1650176.4129729734</v>
          </cell>
          <cell r="F35">
            <v>1708529.529340541</v>
          </cell>
          <cell r="G35">
            <v>1770979.4662378384</v>
          </cell>
          <cell r="H35">
            <v>1770979.4662378384</v>
          </cell>
          <cell r="I35">
            <v>1791738.6680375058</v>
          </cell>
          <cell r="J35">
            <v>1854901</v>
          </cell>
          <cell r="K35">
            <v>1895010</v>
          </cell>
          <cell r="L35">
            <v>1913271</v>
          </cell>
          <cell r="M35">
            <v>1945114</v>
          </cell>
          <cell r="N35">
            <v>1948432</v>
          </cell>
          <cell r="O35">
            <v>1980308</v>
          </cell>
          <cell r="P35">
            <v>2020729</v>
          </cell>
          <cell r="Q35">
            <v>2071701</v>
          </cell>
          <cell r="R35">
            <v>2108247</v>
          </cell>
          <cell r="S35">
            <v>2133168</v>
          </cell>
          <cell r="T35">
            <v>2265891</v>
          </cell>
          <cell r="U35">
            <v>2441394</v>
          </cell>
          <cell r="V35">
            <v>2520040</v>
          </cell>
        </row>
        <row r="36">
          <cell r="A36" t="str">
            <v>New York</v>
          </cell>
          <cell r="B36">
            <v>12711085</v>
          </cell>
          <cell r="C36">
            <v>13116465.54864865</v>
          </cell>
          <cell r="D36">
            <v>13686746.659459461</v>
          </cell>
          <cell r="E36">
            <v>13865388.935135139</v>
          </cell>
          <cell r="F36">
            <v>14355693.273297301</v>
          </cell>
          <cell r="G36">
            <v>14880420.603810815</v>
          </cell>
          <cell r="H36">
            <v>14880420.603810815</v>
          </cell>
          <cell r="I36">
            <v>15054847.049778964</v>
          </cell>
          <cell r="J36">
            <v>15585561</v>
          </cell>
          <cell r="K36">
            <v>15922574</v>
          </cell>
          <cell r="L36">
            <v>16076006</v>
          </cell>
          <cell r="M36">
            <v>16343565</v>
          </cell>
          <cell r="N36">
            <v>16371443</v>
          </cell>
          <cell r="O36">
            <v>16639278</v>
          </cell>
          <cell r="P36">
            <v>16978907</v>
          </cell>
          <cell r="Q36">
            <v>17407195</v>
          </cell>
          <cell r="R36">
            <v>17714265</v>
          </cell>
          <cell r="S36">
            <v>17923659</v>
          </cell>
          <cell r="T36">
            <v>19038846</v>
          </cell>
          <cell r="U36">
            <v>20513486</v>
          </cell>
          <cell r="V36">
            <v>21174297</v>
          </cell>
        </row>
        <row r="37">
          <cell r="A37" t="str">
            <v>North Carolina</v>
          </cell>
          <cell r="B37">
            <v>4731265</v>
          </cell>
          <cell r="C37">
            <v>4882153.9918918926</v>
          </cell>
          <cell r="D37">
            <v>5094421.5567567572</v>
          </cell>
          <cell r="E37">
            <v>5160915.010810812</v>
          </cell>
          <cell r="F37">
            <v>5343413.9677837845</v>
          </cell>
          <cell r="G37">
            <v>5538725.7018648656</v>
          </cell>
          <cell r="H37">
            <v>5538725.7018648656</v>
          </cell>
          <cell r="I37">
            <v>5603649.9580462612</v>
          </cell>
          <cell r="J37">
            <v>5801190</v>
          </cell>
          <cell r="K37">
            <v>5926632</v>
          </cell>
          <cell r="L37">
            <v>5983742</v>
          </cell>
          <cell r="M37">
            <v>6083332</v>
          </cell>
          <cell r="N37">
            <v>6093709</v>
          </cell>
          <cell r="O37">
            <v>6193401</v>
          </cell>
          <cell r="P37">
            <v>6319816</v>
          </cell>
          <cell r="Q37">
            <v>6479231</v>
          </cell>
          <cell r="R37">
            <v>6593527</v>
          </cell>
          <cell r="S37">
            <v>6671467</v>
          </cell>
          <cell r="T37">
            <v>7086557</v>
          </cell>
          <cell r="U37">
            <v>7635441</v>
          </cell>
          <cell r="V37">
            <v>7881405</v>
          </cell>
        </row>
        <row r="38">
          <cell r="A38" t="str">
            <v>North Dakota</v>
          </cell>
          <cell r="B38">
            <v>800000</v>
          </cell>
          <cell r="C38">
            <v>825513.51351351361</v>
          </cell>
          <cell r="D38">
            <v>861405.40540540544</v>
          </cell>
          <cell r="E38">
            <v>872648.64864864887</v>
          </cell>
          <cell r="F38">
            <v>903507.02702702722</v>
          </cell>
          <cell r="G38">
            <v>936531.89189189218</v>
          </cell>
          <cell r="H38">
            <v>936531.89189189218</v>
          </cell>
          <cell r="I38">
            <v>947509.80265045608</v>
          </cell>
          <cell r="J38">
            <v>980911</v>
          </cell>
          <cell r="K38">
            <v>1002122</v>
          </cell>
          <cell r="L38">
            <v>1011779</v>
          </cell>
          <cell r="M38">
            <v>1028618</v>
          </cell>
          <cell r="N38">
            <v>1030373</v>
          </cell>
          <cell r="O38">
            <v>1047230</v>
          </cell>
          <cell r="P38">
            <v>1068605</v>
          </cell>
          <cell r="Q38">
            <v>1095560</v>
          </cell>
          <cell r="R38">
            <v>1114886</v>
          </cell>
          <cell r="S38">
            <v>1128065</v>
          </cell>
          <cell r="T38">
            <v>1198252</v>
          </cell>
          <cell r="U38">
            <v>1291062</v>
          </cell>
          <cell r="V38">
            <v>1332652</v>
          </cell>
        </row>
        <row r="39">
          <cell r="A39" t="str">
            <v>Ohio</v>
          </cell>
          <cell r="B39">
            <v>6958457</v>
          </cell>
          <cell r="C39">
            <v>7180375.3583783796</v>
          </cell>
          <cell r="D39">
            <v>7492565.5913513526</v>
          </cell>
          <cell r="E39">
            <v>7590360.1221621651</v>
          </cell>
          <cell r="F39">
            <v>7858768.4959567599</v>
          </cell>
          <cell r="G39">
            <v>8146021.1235729763</v>
          </cell>
          <cell r="H39">
            <v>8146021.1235729763</v>
          </cell>
          <cell r="I39">
            <v>8241507.7735271063</v>
          </cell>
          <cell r="J39">
            <v>8532037</v>
          </cell>
          <cell r="K39">
            <v>8716529</v>
          </cell>
          <cell r="L39">
            <v>8800523</v>
          </cell>
          <cell r="M39">
            <v>8946994</v>
          </cell>
          <cell r="N39">
            <v>8962255</v>
          </cell>
          <cell r="O39">
            <v>9108876</v>
          </cell>
          <cell r="P39">
            <v>9294800</v>
          </cell>
          <cell r="Q39">
            <v>9529259</v>
          </cell>
          <cell r="R39">
            <v>9697359</v>
          </cell>
          <cell r="S39">
            <v>9811988</v>
          </cell>
          <cell r="T39">
            <v>10422477</v>
          </cell>
          <cell r="U39">
            <v>11229742</v>
          </cell>
          <cell r="V39">
            <v>11591491</v>
          </cell>
        </row>
        <row r="40">
          <cell r="A40" t="str">
            <v>Oklahoma</v>
          </cell>
          <cell r="B40">
            <v>2272091</v>
          </cell>
          <cell r="C40">
            <v>2344552.2805405408</v>
          </cell>
          <cell r="D40">
            <v>2446489.3362162164</v>
          </cell>
          <cell r="E40">
            <v>2478421.4259459465</v>
          </cell>
          <cell r="F40">
            <v>2566062.7306810813</v>
          </cell>
          <cell r="G40">
            <v>2659857.1034756759</v>
          </cell>
          <cell r="H40">
            <v>2659857.1034756759</v>
          </cell>
          <cell r="I40">
            <v>2691035.6187673458</v>
          </cell>
          <cell r="J40">
            <v>2785900</v>
          </cell>
          <cell r="K40">
            <v>2846141</v>
          </cell>
          <cell r="L40">
            <v>2873567</v>
          </cell>
          <cell r="M40">
            <v>2921393</v>
          </cell>
          <cell r="N40">
            <v>2926376</v>
          </cell>
          <cell r="O40">
            <v>2974251</v>
          </cell>
          <cell r="P40">
            <v>3034959</v>
          </cell>
          <cell r="Q40">
            <v>3111515</v>
          </cell>
          <cell r="R40">
            <v>3166403</v>
          </cell>
          <cell r="S40">
            <v>3203832</v>
          </cell>
          <cell r="T40">
            <v>3403170</v>
          </cell>
          <cell r="U40">
            <v>3666760</v>
          </cell>
          <cell r="V40">
            <v>3784879</v>
          </cell>
        </row>
        <row r="41">
          <cell r="A41" t="str">
            <v>Oregon</v>
          </cell>
          <cell r="B41">
            <v>1963089</v>
          </cell>
          <cell r="C41">
            <v>2025695.6221621623</v>
          </cell>
          <cell r="D41">
            <v>2113769.3448648648</v>
          </cell>
          <cell r="E41">
            <v>2141358.7037837841</v>
          </cell>
          <cell r="F41">
            <v>2217080.8827243247</v>
          </cell>
          <cell r="G41">
            <v>2298119.318902703</v>
          </cell>
          <cell r="H41">
            <v>2298119.318902703</v>
          </cell>
          <cell r="I41">
            <v>2325057.5887191007</v>
          </cell>
          <cell r="J41">
            <v>2407021</v>
          </cell>
          <cell r="K41">
            <v>2459069</v>
          </cell>
          <cell r="L41">
            <v>2482765</v>
          </cell>
          <cell r="M41">
            <v>2524087</v>
          </cell>
          <cell r="N41">
            <v>2528392</v>
          </cell>
          <cell r="O41">
            <v>2569756</v>
          </cell>
          <cell r="P41">
            <v>2622208</v>
          </cell>
          <cell r="Q41">
            <v>2688352</v>
          </cell>
          <cell r="R41">
            <v>2735776</v>
          </cell>
          <cell r="S41">
            <v>2768115</v>
          </cell>
          <cell r="T41">
            <v>2940343</v>
          </cell>
          <cell r="U41">
            <v>3168085</v>
          </cell>
          <cell r="V41">
            <v>3270140</v>
          </cell>
        </row>
        <row r="42">
          <cell r="A42" t="str">
            <v>Pennsylvania</v>
          </cell>
          <cell r="B42">
            <v>6634827</v>
          </cell>
          <cell r="C42">
            <v>6846424.1854054062</v>
          </cell>
          <cell r="D42">
            <v>7144094.802162163</v>
          </cell>
          <cell r="E42">
            <v>7237341.0194594618</v>
          </cell>
          <cell r="F42">
            <v>7493266.0220108125</v>
          </cell>
          <cell r="G42">
            <v>7767158.8533567591</v>
          </cell>
          <cell r="H42">
            <v>7767158.8533567591</v>
          </cell>
          <cell r="I42">
            <v>7858204.5267373966</v>
          </cell>
          <cell r="J42">
            <v>8135222</v>
          </cell>
          <cell r="K42">
            <v>8311133</v>
          </cell>
          <cell r="L42">
            <v>8391220</v>
          </cell>
          <cell r="M42">
            <v>8530878</v>
          </cell>
          <cell r="N42">
            <v>8545429</v>
          </cell>
          <cell r="O42">
            <v>8685231</v>
          </cell>
          <cell r="P42">
            <v>8862508</v>
          </cell>
          <cell r="Q42">
            <v>9086062</v>
          </cell>
          <cell r="R42">
            <v>9246344</v>
          </cell>
          <cell r="S42">
            <v>9355642</v>
          </cell>
          <cell r="T42">
            <v>9937738</v>
          </cell>
          <cell r="U42">
            <v>10707458</v>
          </cell>
          <cell r="V42">
            <v>11052382</v>
          </cell>
        </row>
        <row r="43">
          <cell r="A43" t="str">
            <v>Rhode Island</v>
          </cell>
          <cell r="B43">
            <v>800000</v>
          </cell>
          <cell r="C43">
            <v>825513.51351351361</v>
          </cell>
          <cell r="D43">
            <v>861405.40540540544</v>
          </cell>
          <cell r="E43">
            <v>872648.64864864887</v>
          </cell>
          <cell r="F43">
            <v>903507.02702702722</v>
          </cell>
          <cell r="G43">
            <v>936531.89189189218</v>
          </cell>
          <cell r="H43">
            <v>936531.89189189218</v>
          </cell>
          <cell r="I43">
            <v>947509.80265045608</v>
          </cell>
          <cell r="J43">
            <v>980911</v>
          </cell>
          <cell r="K43">
            <v>1002122</v>
          </cell>
          <cell r="L43">
            <v>1011779</v>
          </cell>
          <cell r="M43">
            <v>1028618</v>
          </cell>
          <cell r="N43">
            <v>1030373</v>
          </cell>
          <cell r="O43">
            <v>1047230</v>
          </cell>
          <cell r="P43">
            <v>1068605</v>
          </cell>
          <cell r="Q43">
            <v>1095560</v>
          </cell>
          <cell r="R43">
            <v>1114886</v>
          </cell>
          <cell r="S43">
            <v>1128065</v>
          </cell>
          <cell r="T43">
            <v>1198252</v>
          </cell>
          <cell r="U43">
            <v>1291062</v>
          </cell>
          <cell r="V43">
            <v>1332652</v>
          </cell>
        </row>
        <row r="44">
          <cell r="A44" t="str">
            <v>South Carolina</v>
          </cell>
          <cell r="B44">
            <v>2795030</v>
          </cell>
          <cell r="C44">
            <v>2884168.7945945947</v>
          </cell>
          <cell r="D44">
            <v>3009567.4378378377</v>
          </cell>
          <cell r="E44">
            <v>3048848.940540541</v>
          </cell>
          <cell r="F44">
            <v>3156661.5571891894</v>
          </cell>
          <cell r="G44">
            <v>3272043.4172432437</v>
          </cell>
          <cell r="H44">
            <v>3272043.4172432437</v>
          </cell>
          <cell r="I44">
            <v>3310397.9046276296</v>
          </cell>
          <cell r="J44">
            <v>3427096</v>
          </cell>
          <cell r="K44">
            <v>3501202</v>
          </cell>
          <cell r="L44">
            <v>3534940</v>
          </cell>
          <cell r="M44">
            <v>3593773</v>
          </cell>
          <cell r="N44">
            <v>3599903</v>
          </cell>
          <cell r="O44">
            <v>3658797</v>
          </cell>
          <cell r="P44">
            <v>3733478</v>
          </cell>
          <cell r="Q44">
            <v>3827654</v>
          </cell>
          <cell r="R44">
            <v>3895175</v>
          </cell>
          <cell r="S44">
            <v>3941219</v>
          </cell>
          <cell r="T44">
            <v>4186436</v>
          </cell>
          <cell r="U44">
            <v>4510693</v>
          </cell>
          <cell r="V44">
            <v>4655998</v>
          </cell>
        </row>
        <row r="45">
          <cell r="A45" t="str">
            <v>South Dakota</v>
          </cell>
          <cell r="B45">
            <v>800000</v>
          </cell>
          <cell r="C45">
            <v>825513.51351351361</v>
          </cell>
          <cell r="D45">
            <v>861405.40540540544</v>
          </cell>
          <cell r="E45">
            <v>872648.64864864887</v>
          </cell>
          <cell r="F45">
            <v>903507.02702702722</v>
          </cell>
          <cell r="G45">
            <v>936531.89189189218</v>
          </cell>
          <cell r="H45">
            <v>936531.89189189218</v>
          </cell>
          <cell r="I45">
            <v>947509.80265045608</v>
          </cell>
          <cell r="J45">
            <v>980911</v>
          </cell>
          <cell r="K45">
            <v>1002122</v>
          </cell>
          <cell r="L45">
            <v>1011779</v>
          </cell>
          <cell r="M45">
            <v>1028618</v>
          </cell>
          <cell r="N45">
            <v>1030373</v>
          </cell>
          <cell r="O45">
            <v>1047230</v>
          </cell>
          <cell r="P45">
            <v>1068605</v>
          </cell>
          <cell r="Q45">
            <v>1095560</v>
          </cell>
          <cell r="R45">
            <v>1114886</v>
          </cell>
          <cell r="S45">
            <v>1128065</v>
          </cell>
          <cell r="T45">
            <v>1198252</v>
          </cell>
          <cell r="U45">
            <v>1291062</v>
          </cell>
          <cell r="V45">
            <v>1332652</v>
          </cell>
        </row>
        <row r="46">
          <cell r="A46" t="str">
            <v>Tennessee</v>
          </cell>
          <cell r="B46">
            <v>3860646</v>
          </cell>
          <cell r="C46">
            <v>3983769.3048648653</v>
          </cell>
          <cell r="D46">
            <v>4156976.6659459462</v>
          </cell>
          <cell r="E46">
            <v>4211234.3935135147</v>
          </cell>
          <cell r="F46">
            <v>4360150.9873297308</v>
          </cell>
          <cell r="G46">
            <v>4519522.6278810827</v>
          </cell>
          <cell r="H46">
            <v>4519522.6278810827</v>
          </cell>
          <cell r="I46">
            <v>4572499.9119540909</v>
          </cell>
          <cell r="J46">
            <v>4733690</v>
          </cell>
          <cell r="K46">
            <v>4836049</v>
          </cell>
          <cell r="L46">
            <v>4882650</v>
          </cell>
          <cell r="M46">
            <v>4963914</v>
          </cell>
          <cell r="N46">
            <v>4972381</v>
          </cell>
          <cell r="O46">
            <v>5053729</v>
          </cell>
          <cell r="P46">
            <v>5156882</v>
          </cell>
          <cell r="Q46">
            <v>5286963</v>
          </cell>
          <cell r="R46">
            <v>5380227</v>
          </cell>
          <cell r="S46">
            <v>5443825</v>
          </cell>
          <cell r="T46">
            <v>5782533</v>
          </cell>
          <cell r="U46">
            <v>6230415</v>
          </cell>
          <cell r="V46">
            <v>6431118</v>
          </cell>
        </row>
        <row r="47">
          <cell r="A47" t="str">
            <v>Texas</v>
          </cell>
          <cell r="B47">
            <v>14214325</v>
          </cell>
          <cell r="C47">
            <v>14667646.716216218</v>
          </cell>
          <cell r="D47">
            <v>15305370.486486487</v>
          </cell>
          <cell r="E47">
            <v>15505139.378378382</v>
          </cell>
          <cell r="F47">
            <v>16053428.152432436</v>
          </cell>
          <cell r="G47">
            <v>16640210.855270274</v>
          </cell>
          <cell r="H47">
            <v>16640210.855270274</v>
          </cell>
          <cell r="I47">
            <v>16835265.344449304</v>
          </cell>
          <cell r="J47">
            <v>17428742</v>
          </cell>
          <cell r="K47">
            <v>17805611</v>
          </cell>
          <cell r="L47">
            <v>17977188</v>
          </cell>
          <cell r="M47">
            <v>18276390</v>
          </cell>
          <cell r="N47">
            <v>18307565</v>
          </cell>
          <cell r="O47">
            <v>18607074</v>
          </cell>
          <cell r="P47">
            <v>18986868</v>
          </cell>
          <cell r="Q47">
            <v>19465806</v>
          </cell>
          <cell r="R47">
            <v>19809191</v>
          </cell>
          <cell r="S47">
            <v>20043349</v>
          </cell>
          <cell r="T47">
            <v>21290420</v>
          </cell>
          <cell r="U47">
            <v>22939454</v>
          </cell>
          <cell r="V47">
            <v>23678413</v>
          </cell>
        </row>
        <row r="48">
          <cell r="A48" t="str">
            <v>Utah</v>
          </cell>
          <cell r="B48">
            <v>1659138</v>
          </cell>
          <cell r="C48">
            <v>1712051.04972973</v>
          </cell>
          <cell r="D48">
            <v>1786488.0518918922</v>
          </cell>
          <cell r="E48">
            <v>1809805.6670270276</v>
          </cell>
          <cell r="F48">
            <v>1873803.5522594599</v>
          </cell>
          <cell r="G48">
            <v>1942294.5625621628</v>
          </cell>
          <cell r="H48">
            <v>1942294.5625621628</v>
          </cell>
          <cell r="I48">
            <v>1965061.8986873403</v>
          </cell>
          <cell r="J48">
            <v>2034334</v>
          </cell>
          <cell r="K48">
            <v>2078323</v>
          </cell>
          <cell r="L48">
            <v>2098350</v>
          </cell>
          <cell r="M48">
            <v>2133274</v>
          </cell>
          <cell r="N48">
            <v>2136913</v>
          </cell>
          <cell r="O48">
            <v>2171873</v>
          </cell>
          <cell r="P48">
            <v>2216204</v>
          </cell>
          <cell r="Q48">
            <v>2272107</v>
          </cell>
          <cell r="R48">
            <v>2312188</v>
          </cell>
          <cell r="S48">
            <v>2339520</v>
          </cell>
          <cell r="T48">
            <v>2485082</v>
          </cell>
          <cell r="U48">
            <v>2677562</v>
          </cell>
          <cell r="V48">
            <v>2763816</v>
          </cell>
        </row>
        <row r="49">
          <cell r="A49" t="str">
            <v>Vermont</v>
          </cell>
          <cell r="B49">
            <v>800000</v>
          </cell>
          <cell r="C49">
            <v>825513.51351351361</v>
          </cell>
          <cell r="D49">
            <v>861405.40540540544</v>
          </cell>
          <cell r="E49">
            <v>872648.64864864887</v>
          </cell>
          <cell r="F49">
            <v>903507.02702702722</v>
          </cell>
          <cell r="G49">
            <v>936531.89189189218</v>
          </cell>
          <cell r="H49">
            <v>936531.89189189218</v>
          </cell>
          <cell r="I49">
            <v>947509.80265045608</v>
          </cell>
          <cell r="J49">
            <v>980911</v>
          </cell>
          <cell r="K49">
            <v>1002122</v>
          </cell>
          <cell r="L49">
            <v>1011779</v>
          </cell>
          <cell r="M49">
            <v>1028618</v>
          </cell>
          <cell r="N49">
            <v>1030373</v>
          </cell>
          <cell r="O49">
            <v>1047230</v>
          </cell>
          <cell r="P49">
            <v>1068605</v>
          </cell>
          <cell r="Q49">
            <v>1095560</v>
          </cell>
          <cell r="R49">
            <v>1114886</v>
          </cell>
          <cell r="S49">
            <v>1128065</v>
          </cell>
          <cell r="T49">
            <v>1198252</v>
          </cell>
          <cell r="U49">
            <v>1291062</v>
          </cell>
          <cell r="V49">
            <v>1332652</v>
          </cell>
        </row>
        <row r="50">
          <cell r="A50" t="str">
            <v>Virginia</v>
          </cell>
          <cell r="B50">
            <v>4452812</v>
          </cell>
          <cell r="C50">
            <v>4594820.5989189195</v>
          </cell>
          <cell r="D50">
            <v>4794595.4075675681</v>
          </cell>
          <cell r="E50">
            <v>4857175.4681081092</v>
          </cell>
          <cell r="F50">
            <v>5028933.6650378387</v>
          </cell>
          <cell r="G50">
            <v>5212750.5582486494</v>
          </cell>
          <cell r="H50">
            <v>5212750.5582486494</v>
          </cell>
          <cell r="I50">
            <v>5273853.7741994774</v>
          </cell>
          <cell r="J50">
            <v>5459768</v>
          </cell>
          <cell r="K50">
            <v>5577827</v>
          </cell>
          <cell r="L50">
            <v>5631576</v>
          </cell>
          <cell r="M50">
            <v>5725305</v>
          </cell>
          <cell r="N50">
            <v>5735071</v>
          </cell>
          <cell r="O50">
            <v>5828896</v>
          </cell>
          <cell r="P50">
            <v>5947871</v>
          </cell>
          <cell r="Q50">
            <v>6097904</v>
          </cell>
          <cell r="R50">
            <v>6205474</v>
          </cell>
          <cell r="S50">
            <v>6278827</v>
          </cell>
          <cell r="T50">
            <v>6669487</v>
          </cell>
          <cell r="U50">
            <v>7186067</v>
          </cell>
          <cell r="V50">
            <v>7417555</v>
          </cell>
        </row>
        <row r="51">
          <cell r="A51" t="str">
            <v>Washington</v>
          </cell>
          <cell r="B51">
            <v>3295641</v>
          </cell>
          <cell r="C51">
            <v>3400745.2264864868</v>
          </cell>
          <cell r="D51">
            <v>3548603.7145945947</v>
          </cell>
          <cell r="E51">
            <v>3594920.8313513519</v>
          </cell>
          <cell r="F51">
            <v>3722043.5025729733</v>
          </cell>
          <cell r="G51">
            <v>3858091.1259081084</v>
          </cell>
          <cell r="H51">
            <v>3858091.1259081084</v>
          </cell>
          <cell r="I51">
            <v>3903315.1918959385</v>
          </cell>
          <cell r="J51">
            <v>4040915</v>
          </cell>
          <cell r="K51">
            <v>4128293</v>
          </cell>
          <cell r="L51">
            <v>4168074</v>
          </cell>
          <cell r="M51">
            <v>4237445</v>
          </cell>
          <cell r="N51">
            <v>4244673</v>
          </cell>
          <cell r="O51">
            <v>4314115</v>
          </cell>
          <cell r="P51">
            <v>4402172</v>
          </cell>
          <cell r="Q51">
            <v>4513215</v>
          </cell>
          <cell r="R51">
            <v>4592830</v>
          </cell>
          <cell r="S51">
            <v>4647120</v>
          </cell>
          <cell r="T51">
            <v>4936258</v>
          </cell>
          <cell r="U51">
            <v>5318592</v>
          </cell>
          <cell r="V51">
            <v>5489922</v>
          </cell>
        </row>
        <row r="52">
          <cell r="A52" t="str">
            <v>West Virginia</v>
          </cell>
          <cell r="B52">
            <v>1396699</v>
          </cell>
          <cell r="C52">
            <v>1441242.3735135137</v>
          </cell>
          <cell r="D52">
            <v>1503905.0854054056</v>
          </cell>
          <cell r="E52">
            <v>1523534.3686486492</v>
          </cell>
          <cell r="F52">
            <v>1577409.2014270276</v>
          </cell>
          <cell r="G52">
            <v>1635066.4460918924</v>
          </cell>
          <cell r="H52">
            <v>1635066.4460918924</v>
          </cell>
          <cell r="I52">
            <v>1654232.4923151117</v>
          </cell>
          <cell r="J52">
            <v>1712547</v>
          </cell>
          <cell r="K52">
            <v>1749578</v>
          </cell>
          <cell r="L52">
            <v>1766437</v>
          </cell>
          <cell r="M52">
            <v>1795837</v>
          </cell>
          <cell r="N52">
            <v>1798900</v>
          </cell>
          <cell r="O52">
            <v>1828330</v>
          </cell>
          <cell r="P52">
            <v>1865649</v>
          </cell>
          <cell r="Q52">
            <v>1912709</v>
          </cell>
          <cell r="R52">
            <v>1946450</v>
          </cell>
          <cell r="S52">
            <v>1969458</v>
          </cell>
          <cell r="T52">
            <v>2091995</v>
          </cell>
          <cell r="U52">
            <v>2254029</v>
          </cell>
          <cell r="V52">
            <v>2326639</v>
          </cell>
        </row>
        <row r="53">
          <cell r="A53" t="str">
            <v>Wisconsin</v>
          </cell>
          <cell r="B53">
            <v>3399822</v>
          </cell>
          <cell r="C53">
            <v>3508248.7556756763</v>
          </cell>
          <cell r="D53">
            <v>3660781.3102702708</v>
          </cell>
          <cell r="E53">
            <v>3708562.5924324337</v>
          </cell>
          <cell r="F53">
            <v>3839703.8345513525</v>
          </cell>
          <cell r="G53">
            <v>3980052.1621945961</v>
          </cell>
          <cell r="H53">
            <v>3980052.1621945961</v>
          </cell>
          <cell r="I53">
            <v>4026705.8403333486</v>
          </cell>
          <cell r="J53">
            <v>4168655</v>
          </cell>
          <cell r="K53">
            <v>4258796</v>
          </cell>
          <cell r="L53">
            <v>4299834</v>
          </cell>
          <cell r="M53">
            <v>4371398</v>
          </cell>
          <cell r="N53">
            <v>4378854</v>
          </cell>
          <cell r="O53">
            <v>4450492</v>
          </cell>
          <cell r="P53">
            <v>4541332</v>
          </cell>
          <cell r="Q53">
            <v>4655886</v>
          </cell>
          <cell r="R53">
            <v>4738018</v>
          </cell>
          <cell r="S53">
            <v>4794025</v>
          </cell>
          <cell r="T53">
            <v>5092303</v>
          </cell>
          <cell r="U53">
            <v>5486724</v>
          </cell>
          <cell r="V53">
            <v>5663470</v>
          </cell>
        </row>
        <row r="54">
          <cell r="A54" t="str">
            <v>Wyoming</v>
          </cell>
          <cell r="B54">
            <v>800000</v>
          </cell>
          <cell r="C54">
            <v>825513.51351351361</v>
          </cell>
          <cell r="D54">
            <v>861405.40540540544</v>
          </cell>
          <cell r="E54">
            <v>872648.64864864887</v>
          </cell>
          <cell r="F54">
            <v>903507.02702702722</v>
          </cell>
          <cell r="G54">
            <v>936531.89189189218</v>
          </cell>
          <cell r="H54">
            <v>936531.89189189218</v>
          </cell>
          <cell r="I54">
            <v>947509.80265045608</v>
          </cell>
          <cell r="J54">
            <v>980911</v>
          </cell>
          <cell r="K54">
            <v>1002122</v>
          </cell>
          <cell r="L54">
            <v>1011779</v>
          </cell>
          <cell r="M54">
            <v>1028618</v>
          </cell>
          <cell r="N54">
            <v>1030373</v>
          </cell>
          <cell r="O54">
            <v>1047230</v>
          </cell>
          <cell r="P54">
            <v>1068605</v>
          </cell>
          <cell r="Q54">
            <v>1095560</v>
          </cell>
          <cell r="R54">
            <v>1114886</v>
          </cell>
          <cell r="S54">
            <v>1128065</v>
          </cell>
          <cell r="T54">
            <v>1198252</v>
          </cell>
          <cell r="U54">
            <v>1291062</v>
          </cell>
          <cell r="V54">
            <v>1332652</v>
          </cell>
        </row>
        <row r="55">
          <cell r="A55" t="str">
            <v>American Samoa</v>
          </cell>
          <cell r="B55">
            <v>296760.95</v>
          </cell>
          <cell r="C55">
            <v>306225.2</v>
          </cell>
          <cell r="D55">
            <v>306124.75</v>
          </cell>
          <cell r="E55">
            <v>310120.40000000002</v>
          </cell>
          <cell r="F55">
            <v>314852.90000000002</v>
          </cell>
          <cell r="G55">
            <v>314852.90000000002</v>
          </cell>
          <cell r="H55">
            <v>314852.90000000002</v>
          </cell>
          <cell r="I55">
            <v>314852.90000000002</v>
          </cell>
          <cell r="J55">
            <v>317925.5</v>
          </cell>
          <cell r="K55">
            <v>314852.90000000002</v>
          </cell>
          <cell r="L55">
            <v>317886.85000000003</v>
          </cell>
          <cell r="M55">
            <v>317886.85000000003</v>
          </cell>
          <cell r="N55">
            <v>318429.10000000003</v>
          </cell>
          <cell r="O55">
            <v>316684.85000000003</v>
          </cell>
          <cell r="P55">
            <v>318429.10000000003</v>
          </cell>
          <cell r="Q55">
            <v>356514.95</v>
          </cell>
          <cell r="R55">
            <v>357056.2</v>
          </cell>
          <cell r="S55">
            <v>417766.40000000002</v>
          </cell>
          <cell r="T55">
            <v>351790.35000000003</v>
          </cell>
          <cell r="U55">
            <v>412887.05000000005</v>
          </cell>
          <cell r="V55">
            <v>388161</v>
          </cell>
        </row>
        <row r="56">
          <cell r="A56" t="str">
            <v>Guam</v>
          </cell>
          <cell r="B56">
            <v>658005.05000000005</v>
          </cell>
          <cell r="C56">
            <v>678990.05</v>
          </cell>
          <cell r="D56">
            <v>678767.35000000009</v>
          </cell>
          <cell r="E56">
            <v>687626.75</v>
          </cell>
          <cell r="F56">
            <v>698120.10000000009</v>
          </cell>
          <cell r="G56">
            <v>698120.10000000009</v>
          </cell>
          <cell r="H56">
            <v>698120.10000000009</v>
          </cell>
          <cell r="I56">
            <v>698120.10000000009</v>
          </cell>
          <cell r="J56">
            <v>704932.95000000007</v>
          </cell>
          <cell r="K56">
            <v>698120.10000000009</v>
          </cell>
          <cell r="L56">
            <v>704847.25</v>
          </cell>
          <cell r="M56">
            <v>704847.25</v>
          </cell>
          <cell r="N56">
            <v>706049.55</v>
          </cell>
          <cell r="O56">
            <v>706049.55</v>
          </cell>
          <cell r="P56">
            <v>706049.55</v>
          </cell>
          <cell r="Q56">
            <v>840899.35000000009</v>
          </cell>
          <cell r="R56">
            <v>843836.85000000009</v>
          </cell>
          <cell r="S56">
            <v>1017309.9</v>
          </cell>
          <cell r="T56">
            <v>861721.05</v>
          </cell>
          <cell r="U56">
            <v>938679.25</v>
          </cell>
          <cell r="V56">
            <v>882465.8</v>
          </cell>
        </row>
        <row r="57">
          <cell r="A57" t="str">
            <v>Northern Mariana Islands</v>
          </cell>
          <cell r="B57">
            <v>225508.65000000002</v>
          </cell>
          <cell r="C57">
            <v>232700.55000000002</v>
          </cell>
          <cell r="D57">
            <v>232624.25</v>
          </cell>
          <cell r="E57">
            <v>235660.5</v>
          </cell>
          <cell r="F57">
            <v>239256.75</v>
          </cell>
          <cell r="G57">
            <v>239256.75</v>
          </cell>
          <cell r="H57">
            <v>239256.75</v>
          </cell>
          <cell r="I57">
            <v>239256.75</v>
          </cell>
          <cell r="J57">
            <v>241591.6</v>
          </cell>
          <cell r="K57">
            <v>239256.75</v>
          </cell>
          <cell r="L57">
            <v>241562.25</v>
          </cell>
          <cell r="M57">
            <v>241562.25</v>
          </cell>
          <cell r="N57">
            <v>241974.30000000002</v>
          </cell>
          <cell r="O57">
            <v>241974.30000000002</v>
          </cell>
          <cell r="P57">
            <v>241974.30000000002</v>
          </cell>
          <cell r="Q57">
            <v>254444.65000000002</v>
          </cell>
          <cell r="R57">
            <v>252486.6</v>
          </cell>
          <cell r="S57">
            <v>317197.80000000005</v>
          </cell>
          <cell r="T57">
            <v>267104.15000000002</v>
          </cell>
          <cell r="U57">
            <v>314525.90000000002</v>
          </cell>
          <cell r="V57">
            <v>295690.3</v>
          </cell>
        </row>
        <row r="58">
          <cell r="A58" t="str">
            <v>Puerto Rico</v>
          </cell>
          <cell r="B58">
            <v>1418440</v>
          </cell>
          <cell r="C58">
            <v>1463676.7351351352</v>
          </cell>
          <cell r="D58">
            <v>1527314.854054054</v>
          </cell>
          <cell r="E58">
            <v>1547249.6864864866</v>
          </cell>
          <cell r="F58">
            <v>1601963.1342702704</v>
          </cell>
          <cell r="G58">
            <v>1660517.8709189191</v>
          </cell>
          <cell r="H58">
            <v>1660517.8709189191</v>
          </cell>
          <cell r="I58">
            <v>1679982.2555893906</v>
          </cell>
          <cell r="J58">
            <v>1739205</v>
          </cell>
          <cell r="K58">
            <v>1776813</v>
          </cell>
          <cell r="L58">
            <v>1793935</v>
          </cell>
          <cell r="M58">
            <v>1823792</v>
          </cell>
          <cell r="N58">
            <v>1826903</v>
          </cell>
          <cell r="O58">
            <v>1856791</v>
          </cell>
          <cell r="P58">
            <v>1894690</v>
          </cell>
          <cell r="Q58">
            <v>1942483</v>
          </cell>
          <cell r="R58">
            <v>1976749</v>
          </cell>
          <cell r="S58">
            <v>2000115</v>
          </cell>
          <cell r="T58">
            <v>2124560</v>
          </cell>
          <cell r="U58">
            <v>2289116</v>
          </cell>
          <cell r="V58">
            <v>2362856</v>
          </cell>
        </row>
        <row r="59">
          <cell r="A59" t="str">
            <v>Virgin Islands</v>
          </cell>
          <cell r="B59">
            <v>418216.75</v>
          </cell>
          <cell r="C59">
            <v>431554.45</v>
          </cell>
          <cell r="D59">
            <v>431412.9</v>
          </cell>
          <cell r="E59">
            <v>437043.80000000005</v>
          </cell>
          <cell r="F59">
            <v>443713.2</v>
          </cell>
          <cell r="G59">
            <v>443713.2</v>
          </cell>
          <cell r="H59">
            <v>443713.2</v>
          </cell>
          <cell r="I59">
            <v>443713.2</v>
          </cell>
          <cell r="J59">
            <v>448043.30000000005</v>
          </cell>
          <cell r="K59">
            <v>443713.2</v>
          </cell>
          <cell r="L59">
            <v>447988.9</v>
          </cell>
          <cell r="M59">
            <v>447988.9</v>
          </cell>
          <cell r="N59">
            <v>448753.05000000005</v>
          </cell>
          <cell r="O59">
            <v>448753.05000000005</v>
          </cell>
          <cell r="P59">
            <v>448753.05000000005</v>
          </cell>
          <cell r="Q59">
            <v>448753.05000000005</v>
          </cell>
          <cell r="R59">
            <v>447232.35000000003</v>
          </cell>
          <cell r="S59">
            <v>527725.9</v>
          </cell>
          <cell r="T59">
            <v>444384.45</v>
          </cell>
          <cell r="U59">
            <v>381531.2</v>
          </cell>
          <cell r="V59">
            <v>358682.95</v>
          </cell>
        </row>
        <row r="60">
          <cell r="A60" t="str">
            <v>Freely Associated States</v>
          </cell>
          <cell r="O60">
            <v>0</v>
          </cell>
          <cell r="P60">
            <v>0</v>
          </cell>
          <cell r="Q60">
            <v>0</v>
          </cell>
          <cell r="R60">
            <v>0</v>
          </cell>
          <cell r="S60">
            <v>0</v>
          </cell>
          <cell r="T60">
            <v>0</v>
          </cell>
          <cell r="U60">
            <v>0</v>
          </cell>
          <cell r="V60">
            <v>0</v>
          </cell>
        </row>
        <row r="61">
          <cell r="A61" t="str">
            <v>Department of the Interior</v>
          </cell>
          <cell r="B61">
            <v>3143914</v>
          </cell>
          <cell r="C61">
            <v>3244179.3654054059</v>
          </cell>
          <cell r="D61">
            <v>3385230.6421621623</v>
          </cell>
          <cell r="E61">
            <v>3429415.3794594603</v>
          </cell>
          <cell r="F61">
            <v>3550685.4892108114</v>
          </cell>
          <cell r="G61">
            <v>3680469.6579567576</v>
          </cell>
          <cell r="H61">
            <v>3680469.6579567576</v>
          </cell>
          <cell r="I61">
            <v>3723611.6671125069</v>
          </cell>
          <cell r="J61">
            <v>3854876</v>
          </cell>
          <cell r="K61">
            <v>3938232</v>
          </cell>
          <cell r="L61">
            <v>3976181</v>
          </cell>
          <cell r="M61">
            <v>4042358</v>
          </cell>
          <cell r="N61">
            <v>4049253</v>
          </cell>
          <cell r="O61">
            <v>4115498</v>
          </cell>
          <cell r="P61">
            <v>3872712.5600000005</v>
          </cell>
          <cell r="Q61">
            <v>3900010.5200000009</v>
          </cell>
          <cell r="R61">
            <v>3961128.2000000007</v>
          </cell>
          <cell r="S61">
            <v>4000224.4400000009</v>
          </cell>
          <cell r="T61">
            <v>4000224.4400000009</v>
          </cell>
          <cell r="U61">
            <v>4255040.5600000005</v>
          </cell>
          <cell r="V61">
            <v>4392110.1600000011</v>
          </cell>
        </row>
      </sheetData>
      <sheetData sheetId="19">
        <row r="2">
          <cell r="A2" t="str">
            <v>Plan</v>
          </cell>
        </row>
      </sheetData>
      <sheetData sheetId="20"/>
      <sheetData sheetId="21"/>
      <sheetData sheetId="22"/>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GettingStarted" displayName="GettingStarted" ref="C2:E16" headerRowCount="0" totalsRowShown="0" tableBorderDxfId="419">
  <tableColumns count="3">
    <tableColumn id="1" xr3:uid="{00000000-0010-0000-0000-000001000000}" name="Column1" headerRowDxfId="418" dataDxfId="417"/>
    <tableColumn id="2" xr3:uid="{00000000-0010-0000-0000-000002000000}" name="Column2" dataDxfId="416"/>
    <tableColumn id="3" xr3:uid="{00000000-0010-0000-0000-000003000000}" name="Column3" dataDxfId="415"/>
  </tableColumns>
  <tableStyleInfo name="TableStyleMedium15"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3D24B06-5416-474F-8190-0DB7EB620993}" name="Monitoring" displayName="Monitoring" ref="C3:M24" totalsRowShown="0" dataDxfId="292" headerRowBorderDxfId="293" tableBorderDxfId="291" totalsRowBorderDxfId="290">
  <autoFilter ref="C3:M24" xr:uid="{53D24B06-5416-474F-8190-0DB7EB62099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CE20155B-0AD7-4FB5-B4DB-153B0DF70B3D}" name="Budget item" dataDxfId="289"/>
    <tableColumn id="2" xr3:uid="{C1E523C6-1599-47B0-B1D3-1A1D83E60F9E}" name="Application budget" dataDxfId="288"/>
    <tableColumn id="3" xr3:uid="{E3A3CEC6-12FD-4BA1-8783-6E5B8245B74B}" name="Revised budget (Budget Period)" dataDxfId="287"/>
    <tableColumn id="4" xr3:uid="{269E1DA2-2DBE-40BE-9DCD-E3766EC7C49C}" name="Expenditures during Budget Period" dataDxfId="286"/>
    <tableColumn id="9" xr3:uid="{5AAF558C-2BDE-4495-BA6E-F29007F2DCDE}" name="Unexpended funds after Budget Period" dataDxfId="285">
      <calculatedColumnFormula>E4-F4</calculatedColumnFormula>
    </tableColumn>
    <tableColumn id="5" xr3:uid="{D3B878D4-B69C-437F-9D1D-99CD61DEA5E7}" name="Tydings Period budget" dataDxfId="284"/>
    <tableColumn id="12" xr3:uid="{43EE2DED-86A2-42BB-9624-1587FE4AAB5C}" name="Revised budget (Tydings Period)" dataDxfId="283"/>
    <tableColumn id="6" xr3:uid="{A5EC4091-742C-4565-905C-6428C509F041}" name="Expenditures during Tydings Period" dataDxfId="282"/>
    <tableColumn id="10" xr3:uid="{9D9E5FC5-A5E1-4219-B6F7-5135BB8D7791}" name="Unexpended funds after Tydings Period" dataDxfId="281">
      <calculatedColumnFormula>H4-J4</calculatedColumnFormula>
    </tableColumn>
    <tableColumn id="7" xr3:uid="{2EEA9E61-7F2B-4F15-BA85-4C91DA610049}" name="Expenditures during Liquidation Period that were obligated before end of Tydings Period" dataDxfId="280"/>
    <tableColumn id="11" xr3:uid="{7A7140A9-CEBE-42CC-A23F-9D457AA9BCA0}" name="Unexpended funds after Liquidation Period" dataDxfId="279">
      <calculatedColumnFormula>K4-L4</calculatedColumnFormula>
    </tableColumn>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AAFB60A-D51D-403B-8DA1-98DAF6234D96}" name="Mediation" displayName="Mediation" ref="C3:M24" totalsRowShown="0" dataDxfId="277" headerRowBorderDxfId="278" tableBorderDxfId="276" totalsRowBorderDxfId="275">
  <autoFilter ref="C3:M24" xr:uid="{4AAFB60A-D51D-403B-8DA1-98DAF6234D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EF20A3-1C93-4494-B29E-452D4B7397F1}" name="Budget item" dataDxfId="274"/>
    <tableColumn id="2" xr3:uid="{9B74A2B6-6329-445B-BDD4-297D0520EEDC}" name="Application budget" dataDxfId="273"/>
    <tableColumn id="3" xr3:uid="{D3894351-8388-4E64-9B14-A3698C4EEE63}" name="Revised budget (Budget Period)" dataDxfId="272"/>
    <tableColumn id="4" xr3:uid="{60314BB8-8786-4BF2-8589-959CF5062DE6}" name="Expenditures during Budget Period" dataDxfId="271"/>
    <tableColumn id="9" xr3:uid="{B1E32D5B-2818-4B3C-A381-B0DF232DBBE6}" name="Unexpended funds after Budget Period" dataDxfId="270">
      <calculatedColumnFormula>E4-F4</calculatedColumnFormula>
    </tableColumn>
    <tableColumn id="5" xr3:uid="{F94C23C4-E9B0-4A83-A6B6-C5712029278B}" name="Tydings Period budget" dataDxfId="269"/>
    <tableColumn id="12" xr3:uid="{272CA198-45BC-4BE7-92A8-6954230C3C29}" name="Revised budget (Tydings Period)" dataDxfId="268"/>
    <tableColumn id="6" xr3:uid="{C0879BCD-A3DD-4527-8B6E-3BC864BA5ACB}" name="Expenditures during Tydings Period" dataDxfId="267"/>
    <tableColumn id="10" xr3:uid="{4FC8E049-1F11-4D5E-8F0B-EA2BF920B958}" name="Unexpended funds after Tydings Period" dataDxfId="266">
      <calculatedColumnFormula>H4-J4</calculatedColumnFormula>
    </tableColumn>
    <tableColumn id="7" xr3:uid="{84402AD3-8BDD-44FA-9DCC-049A1545BD16}" name="Expenditures during Liquidation Period that were obligated before end of Tydings Period" dataDxfId="265"/>
    <tableColumn id="11" xr3:uid="{F278FEE5-75AC-4676-B072-AA0FC520287C}" name="Unexpended funds after Liquidation Period" dataDxfId="264">
      <calculatedColumnFormula>K4-L4</calculatedColumnFormula>
    </tableColumn>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A691362-6EAE-4BEC-89E8-AA6D4FD149A0}" name="SupportDirectServices" displayName="SupportDirectServices" ref="C3:M24" totalsRowShown="0" dataDxfId="262" headerRowBorderDxfId="263" tableBorderDxfId="261" totalsRowBorderDxfId="260">
  <autoFilter ref="C3:M24" xr:uid="{3A691362-6EAE-4BEC-89E8-AA6D4FD149A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223B71-ACB2-417D-AC1C-4F07BAEDA4BC}" name="Budget item" dataDxfId="259"/>
    <tableColumn id="2" xr3:uid="{E2203948-2583-4DD8-992E-4860567A98A1}" name="Application budget" dataDxfId="258"/>
    <tableColumn id="3" xr3:uid="{8220FDA7-FCBA-4519-8A3E-529555AEF9B8}" name="Revised budget (Budget Period)" dataDxfId="257"/>
    <tableColumn id="4" xr3:uid="{2AEF91DE-3E97-4817-8C31-FDE75C645265}" name="Expenditures during Budget Period" dataDxfId="256"/>
    <tableColumn id="9" xr3:uid="{5F2D1E4E-E98A-420A-BCED-30B68762A1C1}" name="Unexpended funds after Budget Period" dataDxfId="255">
      <calculatedColumnFormula>E4-F4</calculatedColumnFormula>
    </tableColumn>
    <tableColumn id="5" xr3:uid="{FBF2A05A-8A9C-4B60-B2BA-A27420F13391}" name="Tydings Period budget" dataDxfId="254"/>
    <tableColumn id="12" xr3:uid="{E85E0DB1-506F-499B-9C27-47E1E999C943}" name="Revised budget (Tydings Period)" dataDxfId="253"/>
    <tableColumn id="6" xr3:uid="{9D87CC89-FAEC-4490-A15E-7AAD935CADEC}" name="Expenditures during Tydings Period" dataDxfId="252"/>
    <tableColumn id="10" xr3:uid="{B8524D87-6E16-481F-BCFB-B00F69939FA0}" name="Unexpended funds after Tydings Period" dataDxfId="251">
      <calculatedColumnFormula>H4-J4</calculatedColumnFormula>
    </tableColumn>
    <tableColumn id="7" xr3:uid="{89D2A92F-7024-4895-BEBA-3E1168E8DC8E}" name="Expenditures during Liquidation Period that were obligated before end of Tydings Period" dataDxfId="250"/>
    <tableColumn id="11" xr3:uid="{C71A5DBE-793A-4B3C-93C9-DD58F0E4DFBE}" name="Unexpended funds after Liquidation Period" dataDxfId="249">
      <calculatedColumnFormula>K4-L4</calculatedColumnFormula>
    </tableColumn>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3D7234E-66B0-4D54-AA95-99459242186C}" name="PBIS" displayName="PBIS" ref="C3:M24" totalsRowShown="0" dataDxfId="247" headerRowBorderDxfId="248" tableBorderDxfId="246" totalsRowBorderDxfId="245">
  <autoFilter ref="C3:M24" xr:uid="{B3D7234E-66B0-4D54-AA95-99459242186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E7D7B1B-D704-492D-B82F-A2E3C3A67EAF}" name="Budget item" dataDxfId="244"/>
    <tableColumn id="2" xr3:uid="{A06BCDAA-5B9A-4DC1-96BD-6D190CBDD03F}" name="Application budget" dataDxfId="243"/>
    <tableColumn id="3" xr3:uid="{A7E03373-4DE9-4913-BA70-556D08389D98}" name="Revised budget (Budget Period)" dataDxfId="242"/>
    <tableColumn id="4" xr3:uid="{DA4BF1EE-16E7-4A3F-8102-FFB312057881}" name="Expenditures during Budget Period" dataDxfId="241"/>
    <tableColumn id="9" xr3:uid="{84158808-4A04-4834-A783-7A93BD94E7D5}" name="Unexpended funds after Budget Period" dataDxfId="240">
      <calculatedColumnFormula>E4-F4</calculatedColumnFormula>
    </tableColumn>
    <tableColumn id="5" xr3:uid="{84D08C89-BEA1-4D00-931A-D630BFAD03A4}" name="Tydings Period budget" dataDxfId="239"/>
    <tableColumn id="12" xr3:uid="{F6A77CC0-D516-4349-8524-CED0A7ADDBE5}" name="Revised budget (Tydings Period)" dataDxfId="238"/>
    <tableColumn id="6" xr3:uid="{0B9278CF-BA10-4EBB-9E85-509CA3997A8E}" name="Expenditures during Tydings Period" dataDxfId="237"/>
    <tableColumn id="10" xr3:uid="{66FF1CF5-A81C-4791-B74F-B15113D303A8}" name="Unexpended funds after Tydings Period" dataDxfId="236">
      <calculatedColumnFormula>H4-J4</calculatedColumnFormula>
    </tableColumn>
    <tableColumn id="7" xr3:uid="{EFB0EDE6-30D0-4B23-B698-24DBC7038F68}" name="Expenditures during Liquidation Period that were obligated before end of Tydings Period" dataDxfId="235"/>
    <tableColumn id="11" xr3:uid="{3780DD97-7F28-4FA5-B09A-108AC6BF2E15}" name="Unexpended funds after Liquidation Period" dataDxfId="234">
      <calculatedColumnFormula>K4-L4</calculatedColumnFormula>
    </tableColumn>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C8BF86C-F064-414C-93EC-9E8B898EE65E}" name="Personnel" displayName="Personnel" ref="C3:M24" totalsRowShown="0" dataDxfId="232" headerRowBorderDxfId="233" tableBorderDxfId="231" totalsRowBorderDxfId="230">
  <autoFilter ref="C3:M24" xr:uid="{6C8BF86C-F064-414C-93EC-9E8B898EE65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83A566B-05A3-4A3E-A6D7-C6458D88253C}" name="Budget item" dataDxfId="229"/>
    <tableColumn id="2" xr3:uid="{10177C41-CCCD-4BCE-96C1-54A24324178A}" name="Application budget" dataDxfId="228"/>
    <tableColumn id="3" xr3:uid="{FD4BF513-9A3D-4111-8EEC-6F7E704158BF}" name="Revised budget (Budget Period)" dataDxfId="227"/>
    <tableColumn id="4" xr3:uid="{A00C7D9B-014B-4261-92E6-3E639B266A96}" name="Expenditures during Budget Period" dataDxfId="226"/>
    <tableColumn id="9" xr3:uid="{A2B88EF9-5246-4765-9D2C-444C78C42DA6}" name="Unexpended funds after Budget Period" dataDxfId="225">
      <calculatedColumnFormula>E4-F4</calculatedColumnFormula>
    </tableColumn>
    <tableColumn id="5" xr3:uid="{414BA5DF-FE44-41C8-B953-5E2D3587662D}" name="Tydings Period budget" dataDxfId="224"/>
    <tableColumn id="12" xr3:uid="{EEDF37DF-8704-41E1-AFA2-799EA6BFC03B}" name="Revised budget (Tydings Period)" dataDxfId="223"/>
    <tableColumn id="6" xr3:uid="{57E945A8-6777-44A2-87E9-7913D19D2EDE}" name="Expenditures during Tydings Period" dataDxfId="222"/>
    <tableColumn id="10" xr3:uid="{33379666-37A3-416B-BF28-4698802674C1}" name="Unexpended funds after Tydings Period" dataDxfId="221">
      <calculatedColumnFormula>H4-J4</calculatedColumnFormula>
    </tableColumn>
    <tableColumn id="7" xr3:uid="{BB7E5791-28DA-49E4-A25B-97465C54C8CB}" name="Expenditures during Liquidation Period that were obligated before end of Tydings Period" dataDxfId="220"/>
    <tableColumn id="11" xr3:uid="{474272AB-9E44-4F06-B58D-690C7C0AF1C5}" name="Unexpended funds after Liquidation Period" dataDxfId="219">
      <calculatedColumnFormula>K4-L4</calculatedColumnFormula>
    </tableColumn>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F9912A18-C250-4DD8-888A-5BF6F9D0FF2F}" name="CapacityBuilding" displayName="CapacityBuilding" ref="C3:M24" totalsRowShown="0" dataDxfId="217" headerRowBorderDxfId="218" tableBorderDxfId="216" totalsRowBorderDxfId="215">
  <autoFilter ref="C3:M24" xr:uid="{F9912A18-C250-4DD8-888A-5BF6F9D0FF2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239AC13-8ED4-431C-934B-968145D4CB4F}" name="Budget item" dataDxfId="214"/>
    <tableColumn id="2" xr3:uid="{25B02EBD-6D66-4A8D-9BC2-325B878B38F7}" name="Application budget" dataDxfId="213"/>
    <tableColumn id="3" xr3:uid="{ED585F5C-CD93-4E9F-97CE-ABA9F601EB54}" name="Revised budget (Budget Period)" dataDxfId="212"/>
    <tableColumn id="4" xr3:uid="{8E901BBA-737E-4440-90E5-2C4A7C17B535}" name="Expenditures during Budget Period" dataDxfId="211"/>
    <tableColumn id="9" xr3:uid="{2205F2B6-5C0C-4343-A05E-2325D100A4A7}" name="Unexpended funds after Budget Period" dataDxfId="210">
      <calculatedColumnFormula>E4-F4</calculatedColumnFormula>
    </tableColumn>
    <tableColumn id="5" xr3:uid="{07AD69BC-C576-44A6-AC29-C625AD097532}" name="Tydings Period budget" dataDxfId="209"/>
    <tableColumn id="12" xr3:uid="{BF148538-1349-418D-82A2-FB29E71F248D}" name="Revised budget (Tydings Period)" dataDxfId="208"/>
    <tableColumn id="6" xr3:uid="{8D38DF90-DE46-46DE-AEA2-F95DBB937DFE}" name="Expenditures during Tydings Period" dataDxfId="207"/>
    <tableColumn id="10" xr3:uid="{D28B5C94-7D40-43B9-AD58-C6325743391D}" name="Unexpended funds after Tydings Period" dataDxfId="206">
      <calculatedColumnFormula>H4-J4</calculatedColumnFormula>
    </tableColumn>
    <tableColumn id="7" xr3:uid="{9120BFCE-18D9-4572-871C-FE39834A11C6}" name="Expenditures during Liquidation Period that were obligated before end of Tydings Period" dataDxfId="205"/>
    <tableColumn id="11" xr3:uid="{B93A287B-3901-4BA8-A3C4-4F773703EE56}" name="Unexpended funds after Liquidation Period" dataDxfId="204">
      <calculatedColumnFormula>K4-L4</calculatedColumnFormula>
    </tableColumn>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5DB48D9-8905-4750-BBF9-949BD02CB9BE}" name="PaperworkReduction" displayName="PaperworkReduction" ref="C3:M24" totalsRowShown="0" dataDxfId="202" headerRowBorderDxfId="203" tableBorderDxfId="201" totalsRowBorderDxfId="200">
  <autoFilter ref="C3:M24" xr:uid="{25DB48D9-8905-4750-BBF9-949BD02CB9B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D09C26-2AB5-47BB-97AE-10AE303D3507}" name="Budget item" dataDxfId="199"/>
    <tableColumn id="2" xr3:uid="{6EB32C65-C813-4A6B-8407-7C78676DE74B}" name="Application budget" dataDxfId="198"/>
    <tableColumn id="3" xr3:uid="{1926AEDA-6BC4-4EA7-8082-555FB3EA961E}" name="Revised budget (Budget Period)" dataDxfId="197"/>
    <tableColumn id="4" xr3:uid="{A2C40E37-258D-4DC1-A8CC-4FE0761F0989}" name="Expenditures during Budget Period" dataDxfId="196"/>
    <tableColumn id="9" xr3:uid="{50A4C2D7-92E8-42A9-A31A-16501B8C2BA5}" name="Unexpended funds after Budget Period" dataDxfId="195">
      <calculatedColumnFormula>E4-F4</calculatedColumnFormula>
    </tableColumn>
    <tableColumn id="5" xr3:uid="{951DF0C2-7AFC-4635-9F1D-897DE60AE02E}" name="Tydings Period budget" dataDxfId="194"/>
    <tableColumn id="12" xr3:uid="{B80BE233-5BC5-4E72-BA7B-11EFB0A70089}" name="Revised budget (Tydings Period)" dataDxfId="193"/>
    <tableColumn id="6" xr3:uid="{5D01E7B2-976B-4263-AED0-B4208F539881}" name="Expenditures during Tydings Period" dataDxfId="192"/>
    <tableColumn id="10" xr3:uid="{49021CE8-270D-4207-B650-A9ED7FD01321}" name="Unexpended funds after Tydings Period" dataDxfId="191">
      <calculatedColumnFormula>H4-J4</calculatedColumnFormula>
    </tableColumn>
    <tableColumn id="7" xr3:uid="{F46667DD-4316-47F2-AFEA-D599C106A75D}" name="Expenditures during Liquidation Period that were obligated before end of Tydings Period" dataDxfId="190"/>
    <tableColumn id="11" xr3:uid="{D05FE280-63D9-498D-8887-6A1953118FC0}" name="Unexpended funds after Liquidation Period" dataDxfId="189">
      <calculatedColumnFormula>K4-L4</calculatedColumnFormula>
    </tableColumn>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478C94B1-DCDA-43E2-8A2D-23EDD45DB18B}" name="ImproveTechUse" displayName="ImproveTechUse" ref="C3:M24" totalsRowShown="0" dataDxfId="187" headerRowBorderDxfId="188" tableBorderDxfId="186" totalsRowBorderDxfId="185">
  <autoFilter ref="C3:M24" xr:uid="{478C94B1-DCDA-43E2-8A2D-23EDD45DB18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A5A29B9-47D6-457C-9F53-B354189A0315}" name="Budget item" dataDxfId="184"/>
    <tableColumn id="2" xr3:uid="{E92BC93D-F51F-4790-BB90-76375698FFAA}" name="Application budget" dataDxfId="183"/>
    <tableColumn id="3" xr3:uid="{E5928458-2989-46CB-B826-83A73442819B}" name="Revised budget (Budget Period)" dataDxfId="182"/>
    <tableColumn id="4" xr3:uid="{40CBBE3E-B494-48C6-B3FA-7F28ACBEF918}" name="Expenditures during Budget Period" dataDxfId="181"/>
    <tableColumn id="9" xr3:uid="{8DCC0F1D-9B5E-4EAE-B67E-B21BB33772BA}" name="Unexpended funds after Budget Period" dataDxfId="180">
      <calculatedColumnFormula>E4-F4</calculatedColumnFormula>
    </tableColumn>
    <tableColumn id="5" xr3:uid="{E1F90523-3095-4C9D-B23F-54C8D7CF6FC2}" name="Tydings Period budget" dataDxfId="179"/>
    <tableColumn id="12" xr3:uid="{5433939A-5E98-48B5-89A6-41043FF5E7B0}" name="Revised budget (Tydings Period)" dataDxfId="178"/>
    <tableColumn id="6" xr3:uid="{64B64CCD-25B3-4DCB-BE3C-28F502A5D6A8}" name="Expenditures during Tydings Period" dataDxfId="177"/>
    <tableColumn id="10" xr3:uid="{C933E2C1-2BB1-4D9A-B8A1-AA239ACDD875}" name="Unexpended funds after Tydings Period" dataDxfId="176">
      <calculatedColumnFormula>H4-J4</calculatedColumnFormula>
    </tableColumn>
    <tableColumn id="7" xr3:uid="{2E896CE5-470E-4783-BB0A-B809DDFB2751}" name="Expenditures during Liquidation Period that were obligated before end of Tydings Period" dataDxfId="175"/>
    <tableColumn id="11" xr3:uid="{A60BD53F-737C-44EA-BD21-A83299911F55}" name="Unexpended funds after Liquidation Period" dataDxfId="174">
      <calculatedColumnFormula>K4-L4</calculatedColumnFormula>
    </tableColumn>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6DE7C1BF-00FB-4FFC-A339-6E84400A7A0C}" name="TechforAccess" displayName="TechforAccess" ref="C3:M24" totalsRowShown="0" dataDxfId="172" headerRowBorderDxfId="173" tableBorderDxfId="171" totalsRowBorderDxfId="170">
  <autoFilter ref="C3:M24" xr:uid="{6DE7C1BF-00FB-4FFC-A339-6E84400A7A0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7DE296E9-B113-468B-B20F-375619F60F06}" name="Budget item" dataDxfId="169"/>
    <tableColumn id="2" xr3:uid="{36F5D76A-17FF-4744-8A81-EF53161520D9}" name="Application budget" dataDxfId="168"/>
    <tableColumn id="3" xr3:uid="{4B85E084-0D3E-4965-AD02-94725CB7A369}" name="Revised budget (Budget Period)" dataDxfId="167"/>
    <tableColumn id="4" xr3:uid="{C150C45B-E367-4CCF-91CF-EA1300A8D4B7}" name="Expenditures during Budget Period" dataDxfId="166"/>
    <tableColumn id="9" xr3:uid="{948CB718-8278-456C-ADAB-DCEB666B178B}" name="Unexpended funds after Budget Period" dataDxfId="165">
      <calculatedColumnFormula>E4-F4</calculatedColumnFormula>
    </tableColumn>
    <tableColumn id="5" xr3:uid="{D69F9F20-C99D-4D05-9448-86296AE4F67A}" name="Tydings Period budget" dataDxfId="164"/>
    <tableColumn id="12" xr3:uid="{7499DC21-FBB8-42C2-8EB6-6195318F94ED}" name="Revised budget (Tydings Period)" dataDxfId="163"/>
    <tableColumn id="6" xr3:uid="{C4AF6951-19E1-4F80-B4DA-E4856D315BF3}" name="Expenditures during Tydings Period" dataDxfId="162"/>
    <tableColumn id="10" xr3:uid="{6411D46C-793C-4C0C-A812-8FE09A2891CE}" name="Unexpended funds after Tydings Period" dataDxfId="161">
      <calculatedColumnFormula>H4-J4</calculatedColumnFormula>
    </tableColumn>
    <tableColumn id="7" xr3:uid="{63E17083-FAFB-4BC3-89E1-166AADCBC60A}" name="Expenditures during Liquidation Period that were obligated before end of Tydings Period" dataDxfId="160"/>
    <tableColumn id="11" xr3:uid="{309A6939-91DE-4F7F-90FC-673E1C059CEF}" name="Unexpended funds after Liquidation Period" dataDxfId="159">
      <calculatedColumnFormula>K4-L4</calculatedColumnFormula>
    </tableColumn>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501C7430-18DE-4EE3-ADEE-B3E56A8B1755}" name="TransitionPrograms" displayName="TransitionPrograms" ref="C3:M24" totalsRowShown="0" dataDxfId="157" headerRowBorderDxfId="158" tableBorderDxfId="156" totalsRowBorderDxfId="155">
  <autoFilter ref="C3:M24" xr:uid="{501C7430-18DE-4EE3-ADEE-B3E56A8B175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2E0E67-56AC-4D9E-91F2-615F47815F7A}" name="Budget item" dataDxfId="154"/>
    <tableColumn id="2" xr3:uid="{AB28B311-642D-4929-8A35-511AF9BE3743}" name="Application budget" dataDxfId="153"/>
    <tableColumn id="3" xr3:uid="{1D79E477-71E8-4B52-A474-F3A20EDB90A3}" name="Revised budget (Budget Period)" dataDxfId="152"/>
    <tableColumn id="4" xr3:uid="{31EEFD49-6DC1-42D4-8B0F-7D5A92387817}" name="Expenditures during Budget Period" dataDxfId="151"/>
    <tableColumn id="9" xr3:uid="{9F999D4B-E8E2-470B-AE96-7A659A65C346}" name="Unexpended funds after Budget Period" dataDxfId="150">
      <calculatedColumnFormula>E4-F4</calculatedColumnFormula>
    </tableColumn>
    <tableColumn id="5" xr3:uid="{7B426BFB-1A28-4A15-9C82-115D51C8221C}" name="Tydings Period budget" dataDxfId="149"/>
    <tableColumn id="12" xr3:uid="{461F78CF-59F8-46CC-A67A-E8E7EB7076BA}" name="Revised budget (Tydings Period)" dataDxfId="148"/>
    <tableColumn id="6" xr3:uid="{3E1DACB4-5101-4CC2-9A18-5D0AF4ECF370}" name="Expenditures during Tydings Period" dataDxfId="147"/>
    <tableColumn id="10" xr3:uid="{285616DF-C7FA-46B3-B3C4-552F741EA22F}" name="Unexpended funds after Tydings Period" dataDxfId="146">
      <calculatedColumnFormula>H4-J4</calculatedColumnFormula>
    </tableColumn>
    <tableColumn id="7" xr3:uid="{4B31BC6D-43B3-4F1B-AFC5-5F0C3926F68B}" name="Expenditures during Liquidation Period that were obligated before end of Tydings Period" dataDxfId="145"/>
    <tableColumn id="11" xr3:uid="{40EA7D35-59DB-4289-B6D6-05175FA92B51}" name="Unexpended funds after Liquidation Period" dataDxfId="144">
      <calculatedColumnFormula>K4-L4</calculatedColumnFormula>
    </tableColumn>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Overview" displayName="Overview" ref="C3:M31" totalsRowShown="0" headerRowDxfId="414" headerRowBorderDxfId="413" tableBorderDxfId="412" totalsRowBorderDxfId="411">
  <autoFilter ref="C3:M31"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100-000001000000}" name="Cost category" dataDxfId="410"/>
    <tableColumn id="2" xr3:uid="{00000000-0010-0000-0100-000002000000}" name="Application budget" dataDxfId="409"/>
    <tableColumn id="3" xr3:uid="{00000000-0010-0000-0100-000003000000}" name="Revised budget (Budget Period)" dataDxfId="408"/>
    <tableColumn id="4" xr3:uid="{00000000-0010-0000-0100-000004000000}" name="Expenditures during Budget Period" dataDxfId="407"/>
    <tableColumn id="8" xr3:uid="{00000000-0010-0000-0100-000008000000}" name="Unexpended funds after Budget Period" dataDxfId="406"/>
    <tableColumn id="5" xr3:uid="{00000000-0010-0000-0100-000005000000}" name="Tydings Period budget" dataDxfId="405"/>
    <tableColumn id="11" xr3:uid="{00000000-0010-0000-0100-00000B000000}" name="Revised budget (Tydings Period)" dataDxfId="404"/>
    <tableColumn id="6" xr3:uid="{00000000-0010-0000-0100-000006000000}" name="Expenditures during Tydings Period" dataDxfId="403"/>
    <tableColumn id="7" xr3:uid="{00000000-0010-0000-0100-000007000000}" name="Unexpended funds after Tydings Period" dataDxfId="402"/>
    <tableColumn id="9" xr3:uid="{00000000-0010-0000-0100-000009000000}" name="Expenditures during Liquidation Period that were obligated before end of Tydings Period" dataDxfId="401"/>
    <tableColumn id="10" xr3:uid="{00000000-0010-0000-0100-00000A000000}" name="Unexpended funds after Liquidation Period" dataDxfId="400"/>
  </tableColumns>
  <tableStyleInfo name="TableStyleLight18"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E96DF523-BA33-48DF-9546-B792C8D74C16}" name="AltProgramming" displayName="AltProgramming" ref="C3:M24" totalsRowShown="0" dataDxfId="142" headerRowBorderDxfId="143" tableBorderDxfId="141" totalsRowBorderDxfId="140">
  <autoFilter ref="C3:M24" xr:uid="{E96DF523-BA33-48DF-9546-B792C8D74C1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D750F48-0DEE-45CC-ABD8-AC1D2287CF9C}" name="Budget item" dataDxfId="139"/>
    <tableColumn id="2" xr3:uid="{2A9D1D6D-DEB3-41FF-AE24-157B9B90C13F}" name="Application budget" dataDxfId="138"/>
    <tableColumn id="3" xr3:uid="{54309B16-1D87-43CE-A965-15337E5B9436}" name="Revised budget (Budget Period)" dataDxfId="137"/>
    <tableColumn id="4" xr3:uid="{2352B909-2618-48C0-BF51-73A0C981D249}" name="Expenditures during Budget Period" dataDxfId="136"/>
    <tableColumn id="9" xr3:uid="{03A3B67B-AF25-4E7E-BE45-FB4575A59924}" name="Unexpended funds after Budget Period" dataDxfId="135">
      <calculatedColumnFormula>E4-F4</calculatedColumnFormula>
    </tableColumn>
    <tableColumn id="5" xr3:uid="{C1218D41-283E-4B37-8D4A-6B100E6F284E}" name="Tydings Period budget" dataDxfId="134"/>
    <tableColumn id="12" xr3:uid="{0631636F-7B46-4007-975A-91B864CE04C3}" name="Revised budget (Tydings Period)" dataDxfId="133"/>
    <tableColumn id="6" xr3:uid="{A7A7D147-9ABB-4822-A829-11553CFB37DC}" name="Expenditures during Tydings Period" dataDxfId="132"/>
    <tableColumn id="10" xr3:uid="{82108350-6146-440A-902E-172DDFB74BCF}" name="Unexpended funds after Tydings Period" dataDxfId="131">
      <calculatedColumnFormula>H4-J4</calculatedColumnFormula>
    </tableColumn>
    <tableColumn id="7" xr3:uid="{6B5E183D-E561-47D1-B970-A486AFA64268}" name="Expenditures during Liquidation Period that were obligated before end of Tydings Period" dataDxfId="130"/>
    <tableColumn id="11" xr3:uid="{9C661353-7664-48F0-B5E6-CA0C3C05D834}" name="Unexpended funds after Liquidation Period" dataDxfId="129">
      <calculatedColumnFormula>K4-L4</calculatedColumnFormula>
    </tableColumn>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A6556E1C-82BB-4D38-98A2-E3058FCFEF1C}" name="AccomandAltAssessments" displayName="AccomandAltAssessments" ref="C3:M24" totalsRowShown="0" dataDxfId="127" headerRowBorderDxfId="128" tableBorderDxfId="126" totalsRowBorderDxfId="125">
  <autoFilter ref="C3:M24" xr:uid="{A6556E1C-82BB-4D38-98A2-E3058FCFEF1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FF186897-45FF-412B-BE66-C55B6DD4F699}" name="Budget item" dataDxfId="124"/>
    <tableColumn id="2" xr3:uid="{CD5C957F-8AE9-4F3A-9503-D7D828654C34}" name="Application budget" dataDxfId="123"/>
    <tableColumn id="3" xr3:uid="{7CD44504-ACDF-4924-AC4D-3127413F177A}" name="Revised budget (Budget Period)" dataDxfId="122"/>
    <tableColumn id="4" xr3:uid="{9B5CAB55-8C60-4354-8016-131172D4D4CB}" name="Expenditures during Budget Period" dataDxfId="121"/>
    <tableColumn id="9" xr3:uid="{A85E74DD-8340-43A5-A0E7-3AFEC3398DD8}" name="Unexpended funds after Budget Period" dataDxfId="120">
      <calculatedColumnFormula>E4-F4</calculatedColumnFormula>
    </tableColumn>
    <tableColumn id="5" xr3:uid="{D2DFA152-58AB-441C-94DF-69B2CE1C8B2E}" name="Tydings Period budget" dataDxfId="119"/>
    <tableColumn id="12" xr3:uid="{C559D854-836F-41B7-A247-2FBB4F79CD48}" name="Revised budget (Tydings Period)" dataDxfId="118"/>
    <tableColumn id="6" xr3:uid="{984F0282-C129-4C39-8AE0-D43A4A109A2C}" name="Expenditures during Tydings Period" dataDxfId="117"/>
    <tableColumn id="10" xr3:uid="{CED5A1AF-3C9E-4D4A-B360-D83CC67E2E1E}" name="Unexpended funds after Tydings Period" dataDxfId="116">
      <calculatedColumnFormula>H4-J4</calculatedColumnFormula>
    </tableColumn>
    <tableColumn id="7" xr3:uid="{517454D7-3ED7-4EBF-B79A-3CB0D1DAB100}" name="Expenditures during Liquidation Period that were obligated before end of Tydings Period" dataDxfId="115"/>
    <tableColumn id="11" xr3:uid="{559AB4D3-288C-45FC-991D-59CCFF389E70}" name="Unexpended funds after Liquidation Period" dataDxfId="114">
      <calculatedColumnFormula>K4-L4</calculatedColumnFormula>
    </tableColumn>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72D7AF06-3DFA-4598-B56C-C985A0EB0173}" name="TAforAcadAchievement" displayName="TAforAcadAchievement" ref="C3:M24" totalsRowShown="0" dataDxfId="112" headerRowBorderDxfId="113" tableBorderDxfId="111" totalsRowBorderDxfId="110">
  <autoFilter ref="C3:M24" xr:uid="{72D7AF06-3DFA-4598-B56C-C985A0EB017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BDFF005-B075-4498-871D-1DD4439D78D7}" name="Budget item" dataDxfId="109"/>
    <tableColumn id="2" xr3:uid="{C93D060F-E39F-41DE-A051-A0FDA0C8738D}" name="Application budget" dataDxfId="108"/>
    <tableColumn id="3" xr3:uid="{7ED6D78C-70B0-40B5-8A01-73FCB255703F}" name="Revised budget (Budget Period)" dataDxfId="107"/>
    <tableColumn id="4" xr3:uid="{F09CFB3E-7A23-43F4-86A4-23437A8B6784}" name="Expenditures during Budget Period" dataDxfId="106"/>
    <tableColumn id="9" xr3:uid="{2C631396-D431-44D4-99EB-454874401DA9}" name="Unexpended funds after Budget Period" dataDxfId="105">
      <calculatedColumnFormula>E4-F4</calculatedColumnFormula>
    </tableColumn>
    <tableColumn id="5" xr3:uid="{EEE2EB04-96DE-4B4E-9FE8-25959075E9D2}" name="Tydings Period budget" dataDxfId="104"/>
    <tableColumn id="12" xr3:uid="{B7CB9D9D-24D9-49C2-8A82-EE21CE767D78}" name="Revised budget (Tydings Period)" dataDxfId="103"/>
    <tableColumn id="6" xr3:uid="{90DE917D-083C-4CA3-BB8C-3566813A31A2}" name="Expenditures during Tydings Period" dataDxfId="102"/>
    <tableColumn id="10" xr3:uid="{16D2B3E6-BDE8-4848-803F-8B0D3F996A53}" name="Unexpended funds after Tydings Period" dataDxfId="101">
      <calculatedColumnFormula>H4-J4</calculatedColumnFormula>
    </tableColumn>
    <tableColumn id="7" xr3:uid="{69EDC01F-12AF-4414-8808-F48E8AFE6936}" name="Expenditures during Liquidation Period that were obligated before end of Tydings Period" dataDxfId="100"/>
    <tableColumn id="11" xr3:uid="{9E35DB62-A568-430C-B410-63133F350C55}" name="Unexpended funds after Liquidation Period" dataDxfId="99">
      <calculatedColumnFormula>K4-L4</calculatedColumnFormula>
    </tableColumn>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HighCostFund" displayName="HighCostFund" ref="C3:G6" totalsRowShown="0" dataDxfId="97" headerRowBorderDxfId="98" tableBorderDxfId="96" totalsRowBorderDxfId="95">
  <autoFilter ref="C3:G6" xr:uid="{00000000-0009-0000-0100-000018000000}">
    <filterColumn colId="0" hiddenButton="1"/>
    <filterColumn colId="1" hiddenButton="1"/>
    <filterColumn colId="2" hiddenButton="1"/>
    <filterColumn colId="3" hiddenButton="1"/>
    <filterColumn colId="4" hiddenButton="1"/>
  </autoFilter>
  <tableColumns count="5">
    <tableColumn id="1" xr3:uid="{00000000-0010-0000-1700-000001000000}" name="Budget item" dataDxfId="94"/>
    <tableColumn id="2" xr3:uid="{00000000-0010-0000-1700-000002000000}" name="Application budget" dataDxfId="93"/>
    <tableColumn id="3" xr3:uid="{00000000-0010-0000-1700-000003000000}" name="Revised budget (Budget Period)" dataDxfId="92"/>
    <tableColumn id="4" xr3:uid="{00000000-0010-0000-1700-000004000000}" name="Expenditures during Budget Period" dataDxfId="91"/>
    <tableColumn id="9" xr3:uid="{00000000-0010-0000-1700-000009000000}" name="Unexpended funds after Budget Period" dataDxfId="90">
      <calculatedColumnFormula>E4-F4</calculatedColumnFormula>
    </tableColumn>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PartBAdmin" displayName="PartBAdmin" ref="C3:M24" totalsRowShown="0" headerRowDxfId="399" dataDxfId="397" headerRowBorderDxfId="398" tableBorderDxfId="396" totalsRowBorderDxfId="395">
  <autoFilter ref="C3:M24"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200-000001000000}" name="Budget item" dataDxfId="394"/>
    <tableColumn id="2" xr3:uid="{00000000-0010-0000-0200-000002000000}" name="Application budget" dataDxfId="393"/>
    <tableColumn id="3" xr3:uid="{00000000-0010-0000-0200-000003000000}" name="Revised budget (Budget Period)" dataDxfId="392"/>
    <tableColumn id="4" xr3:uid="{00000000-0010-0000-0200-000004000000}" name="Expenditures during Budget Period" dataDxfId="391"/>
    <tableColumn id="9" xr3:uid="{00000000-0010-0000-0200-000009000000}" name="Unexpended funds after Budget Period" dataDxfId="390">
      <calculatedColumnFormula>E4-F4</calculatedColumnFormula>
    </tableColumn>
    <tableColumn id="5" xr3:uid="{00000000-0010-0000-0200-000005000000}" name="Tydings Period budget" dataDxfId="389"/>
    <tableColumn id="12" xr3:uid="{00000000-0010-0000-0200-00000C000000}" name="Revised budget (Tydings Period)" dataDxfId="388"/>
    <tableColumn id="6" xr3:uid="{00000000-0010-0000-0200-000006000000}" name="Expenditures during Tydings Period" dataDxfId="387"/>
    <tableColumn id="10" xr3:uid="{00000000-0010-0000-0200-00000A000000}" name="Unexpended funds after Tydings Period" dataDxfId="386">
      <calculatedColumnFormula>H4-J4</calculatedColumnFormula>
    </tableColumn>
    <tableColumn id="7" xr3:uid="{00000000-0010-0000-0200-000007000000}" name="Expenditures during Liquidation Period that were obligated before end of Tydings Period" dataDxfId="385"/>
    <tableColumn id="11" xr3:uid="{00000000-0010-0000-0200-00000B000000}" name="Unexpended funds after Liquidation Period" dataDxfId="384">
      <calculatedColumnFormula>K4-L4</calculatedColumnFormula>
    </tableColumn>
  </tableColumns>
  <tableStyleInfo name="TableStyleLight18"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D28D147-5B9E-4089-87C1-BC43AECCEBF4}" name="PartCAdmin" displayName="PartCAdmin" ref="C3:M24" totalsRowShown="0" dataDxfId="382" headerRowBorderDxfId="383" tableBorderDxfId="381" totalsRowBorderDxfId="380">
  <autoFilter ref="C3:M24" xr:uid="{1D28D147-5B9E-4089-87C1-BC43AECCEBF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9458F108-46EE-4B01-B9EE-42FBC7269071}" name="Budget item" dataDxfId="379"/>
    <tableColumn id="2" xr3:uid="{DC7C738E-6853-4A19-9815-A9D290196844}" name="Application budget" dataDxfId="378"/>
    <tableColumn id="3" xr3:uid="{1AD44C5F-2E2D-4A4C-80EC-95E3E36E0CB7}" name="Revised budget (Budget Period)" dataDxfId="377"/>
    <tableColumn id="4" xr3:uid="{98448AC1-36A2-469F-85E0-C2F8A6DE7204}" name="Expenditures during Budget Period" dataDxfId="376"/>
    <tableColumn id="9" xr3:uid="{A911505F-D4C1-4A59-A3AF-D7D19B41EE3A}" name="Unexpended funds after Budget Period" dataDxfId="375">
      <calculatedColumnFormula>E4-F4</calculatedColumnFormula>
    </tableColumn>
    <tableColumn id="5" xr3:uid="{370846DC-956D-4516-9F4A-C94FE7B76534}" name="Tydings Period budget" dataDxfId="374"/>
    <tableColumn id="12" xr3:uid="{A0722721-FEF9-48AB-8DFD-420213C0D87D}" name="Revised budget (Tydings Period)" dataDxfId="373"/>
    <tableColumn id="6" xr3:uid="{CBFAB8B9-822C-4550-A60D-E5D227D4F16D}" name="Expenditures during Tydings Period" dataDxfId="372"/>
    <tableColumn id="10" xr3:uid="{8FDB3AFF-5836-461C-BD80-C487DB94DFEC}" name="Unexpended funds after Tydings Period" dataDxfId="371">
      <calculatedColumnFormula>H4-J4</calculatedColumnFormula>
    </tableColumn>
    <tableColumn id="7" xr3:uid="{D08DD227-0009-4CEB-B579-710587C23083}" name="Expenditures during Liquidation Period that were obligated before end of Tydings Period" dataDxfId="370"/>
    <tableColumn id="11" xr3:uid="{44D6BE24-646D-4092-80D7-BF04ADE41337}" name="Unexpended funds after Liquidation Period" dataDxfId="369">
      <calculatedColumnFormula>K4-L4</calculatedColumnFormula>
    </tableColumn>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47D755F1-FB36-4CB8-A8AD-B4C4A5E847AC}" name="SupportAdmin" displayName="SupportAdmin" ref="C3:M24" totalsRowShown="0" dataDxfId="367" headerRowBorderDxfId="368" tableBorderDxfId="366" totalsRowBorderDxfId="365">
  <autoFilter ref="C3:M24" xr:uid="{47D755F1-FB36-4CB8-A8AD-B4C4A5E847AC}">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9CA2D27-C710-40AA-B9D8-BDB0EEFDC7B6}" name="Budget item" dataDxfId="364"/>
    <tableColumn id="2" xr3:uid="{0116A68D-B294-4C31-A359-F9A7464B14E9}" name="Application budget" dataDxfId="363"/>
    <tableColumn id="3" xr3:uid="{3337D70D-5ABB-45B5-8146-2EF6104B48E3}" name="Revised budget (Budget Period)" dataDxfId="362"/>
    <tableColumn id="4" xr3:uid="{7E670F81-B7D5-444C-83BE-08593CF6DE70}" name="Expenditures during Budget Period" dataDxfId="361"/>
    <tableColumn id="9" xr3:uid="{EA94C858-D918-409C-95D7-B64147A931B1}" name="Unexpended funds after Budget Period" dataDxfId="360">
      <calculatedColumnFormula>E4-F4</calculatedColumnFormula>
    </tableColumn>
    <tableColumn id="5" xr3:uid="{707BAE61-BD17-4C70-8880-770E08686175}" name="Tydings Period budget" dataDxfId="359"/>
    <tableColumn id="12" xr3:uid="{9A0931D2-7775-4713-B861-6719225F259D}" name="Revised budget (Tydings Period)" dataDxfId="358"/>
    <tableColumn id="6" xr3:uid="{D62E5826-134C-4E2C-8689-2153035477B7}" name="Expenditures during Tydings Period" dataDxfId="357"/>
    <tableColumn id="10" xr3:uid="{665BE980-2DFF-42E5-B856-51DAA5BBF03D}" name="Unexpended funds after Tydings Period" dataDxfId="356">
      <calculatedColumnFormula>H4-J4</calculatedColumnFormula>
    </tableColumn>
    <tableColumn id="7" xr3:uid="{1C168AE0-CE85-4109-8948-A842DFD14D95}" name="Expenditures during Liquidation Period that were obligated before end of Tydings Period" dataDxfId="355"/>
    <tableColumn id="11" xr3:uid="{372DA09C-9A2D-4280-AAD6-17ADB1821517}" name="Unexpended funds after Liquidation Period" dataDxfId="354">
      <calculatedColumnFormula>K4-L4</calculatedColumnFormula>
    </tableColumn>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C4276405-2CDB-44F9-805E-5F62084DA563}" name="PBISAdmin" displayName="PBISAdmin" ref="C3:M24" totalsRowShown="0" dataDxfId="352" headerRowBorderDxfId="353" tableBorderDxfId="351" totalsRowBorderDxfId="350">
  <autoFilter ref="C3:M24" xr:uid="{C4276405-2CDB-44F9-805E-5F62084DA56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6E80B38-5213-4FDC-BAC4-75978DFB1044}" name="Budget item" dataDxfId="349"/>
    <tableColumn id="2" xr3:uid="{6CD7024D-D899-45FB-9069-75E748BF2F2C}" name="Application budget" dataDxfId="348"/>
    <tableColumn id="3" xr3:uid="{C36D81D2-F827-4001-9146-2E023B4F5199}" name="Revised budget (Budget Period)" dataDxfId="347"/>
    <tableColumn id="4" xr3:uid="{218D9050-0673-4D3F-BB39-67417E4B26DE}" name="Expenditures during Budget Period" dataDxfId="346"/>
    <tableColumn id="9" xr3:uid="{D57FFCAB-A13A-4FC0-81A6-AE77AA379651}" name="Unexpended funds after Budget Period" dataDxfId="345">
      <calculatedColumnFormula>E4-F4</calculatedColumnFormula>
    </tableColumn>
    <tableColumn id="5" xr3:uid="{F5BA0456-1F2C-48AB-BFFB-4F84D701839C}" name="Tydings Period budget" dataDxfId="344"/>
    <tableColumn id="12" xr3:uid="{6E550CB3-1CF3-4392-89A5-924D1C4CA45B}" name="Revised budget (Tydings Period)" dataDxfId="343"/>
    <tableColumn id="6" xr3:uid="{5BC8E4F7-FFFA-4ADF-BB16-720739FD6003}" name="Expenditures during Tydings Period" dataDxfId="342"/>
    <tableColumn id="10" xr3:uid="{0A43BFF7-00E4-4A05-B9C7-857D696FDFC2}" name="Unexpended funds after Tydings Period" dataDxfId="341">
      <calculatedColumnFormula>H4-J4</calculatedColumnFormula>
    </tableColumn>
    <tableColumn id="7" xr3:uid="{FBF932A3-F5B2-4BAB-9910-95EAE436135E}" name="Expenditures during Liquidation Period that were obligated before end of Tydings Period" dataDxfId="340"/>
    <tableColumn id="11" xr3:uid="{ADF6702B-C7A2-4600-8616-1CDD604D9628}" name="Unexpended funds after Liquidation Period" dataDxfId="339">
      <calculatedColumnFormula>K4-L4</calculatedColumnFormula>
    </tableColumn>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6B5D465E-568C-452B-BB79-DEFE650D53B3}" name="PersonnelAdmin" displayName="PersonnelAdmin" ref="C3:M24" totalsRowShown="0" dataDxfId="337" headerRowBorderDxfId="338" tableBorderDxfId="336" totalsRowBorderDxfId="335">
  <autoFilter ref="C3:M24" xr:uid="{6B5D465E-568C-452B-BB79-DEFE650D53B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A6F3359-C1E9-40C9-B6B0-B94AC6BCFBA8}" name="Budget item" dataDxfId="334"/>
    <tableColumn id="2" xr3:uid="{6097D4E3-E369-4356-98BB-30DA007CBD67}" name="Application budget" dataDxfId="333"/>
    <tableColumn id="3" xr3:uid="{43036E10-0FBF-499B-B877-F75502C2D7D6}" name="Revised budget (Budget Period)" dataDxfId="332"/>
    <tableColumn id="4" xr3:uid="{5B33D415-574C-4137-BB38-8647B0959870}" name="Expenditures during Budget Period" dataDxfId="331"/>
    <tableColumn id="9" xr3:uid="{97DD771F-0549-4901-8BC8-658E00790E54}" name="Unexpended funds after Budget Period" dataDxfId="330">
      <calculatedColumnFormula>E4-F4</calculatedColumnFormula>
    </tableColumn>
    <tableColumn id="5" xr3:uid="{FAE263C4-5B9A-4D4B-AC47-59D90ED21A22}" name="Tydings Period budget" dataDxfId="329"/>
    <tableColumn id="12" xr3:uid="{CAEFC3F6-2DF6-4D46-99C9-275AC3CD81C5}" name="Revised budget (Tydings Period)" dataDxfId="328"/>
    <tableColumn id="6" xr3:uid="{6B07B8D2-90E7-4D94-BECD-C3C2154C8295}" name="Expenditures during Tydings Period" dataDxfId="327"/>
    <tableColumn id="10" xr3:uid="{862FDB50-250A-427E-9EDB-7A93A5D6EFFC}" name="Unexpended funds after Tydings Period" dataDxfId="326">
      <calculatedColumnFormula>H4-J4</calculatedColumnFormula>
    </tableColumn>
    <tableColumn id="7" xr3:uid="{A57D2653-4FD9-4842-A512-4AB0E08E06C2}" name="Expenditures during Liquidation Period that were obligated before end of Tydings Period" dataDxfId="325"/>
    <tableColumn id="11" xr3:uid="{85BBEFB1-42A7-4861-8884-BB6B616C37AF}" name="Unexpended funds after Liquidation Period" dataDxfId="324">
      <calculatedColumnFormula>K4-L4</calculatedColumnFormula>
    </tableColumn>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B344126-4609-47E1-B84B-C7862D995496}" name="CapacityAdmin" displayName="CapacityAdmin" ref="C3:M24" totalsRowShown="0" dataDxfId="322" headerRowBorderDxfId="323" tableBorderDxfId="321" totalsRowBorderDxfId="320">
  <autoFilter ref="C3:M24" xr:uid="{2B344126-4609-47E1-B84B-C7862D995496}">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61BD6B09-C7E5-4475-8188-C921AC231087}" name="Budget item" dataDxfId="319"/>
    <tableColumn id="2" xr3:uid="{130C3AF9-7992-49D6-A4F9-25229FF400F5}" name="Application budget" dataDxfId="318"/>
    <tableColumn id="3" xr3:uid="{5F1FCFA6-41B7-48A3-B604-9A33F4B0DD62}" name="Revised budget (Budget Period)" dataDxfId="317"/>
    <tableColumn id="4" xr3:uid="{3F9D83A7-129E-45A5-A9E2-7FEC35133299}" name="Expenditures during Budget Period" dataDxfId="316"/>
    <tableColumn id="9" xr3:uid="{5977DBD8-6F3A-4C2A-B749-4F6A0F070C66}" name="Unexpended funds after Budget Period" dataDxfId="315">
      <calculatedColumnFormula>E4-F4</calculatedColumnFormula>
    </tableColumn>
    <tableColumn id="5" xr3:uid="{1808D142-0A31-4E9F-BA53-40619F57FE55}" name="Tydings Period budget" dataDxfId="314"/>
    <tableColumn id="12" xr3:uid="{DA27346E-C2B9-40D9-A724-177CA8D7797E}" name="Revised budget (Tydings Period)" dataDxfId="313"/>
    <tableColumn id="6" xr3:uid="{57DF8ABE-42F7-45D6-9A03-539F09A9DC10}" name="Expenditures during Tydings Period" dataDxfId="312"/>
    <tableColumn id="10" xr3:uid="{A2445AF3-9EDB-4F80-8AD7-955144F9A94F}" name="Unexpended funds after Tydings Period" dataDxfId="311">
      <calculatedColumnFormula>H4-J4</calculatedColumnFormula>
    </tableColumn>
    <tableColumn id="7" xr3:uid="{570BCB31-A4E8-4EE6-9AA6-26E5BD6BAD60}" name="Expenditures during Liquidation Period that were obligated before end of Tydings Period" dataDxfId="310"/>
    <tableColumn id="11" xr3:uid="{983D2259-86E1-4D65-97D5-E95199FF19F9}" name="Unexpended funds after Liquidation Period" dataDxfId="309">
      <calculatedColumnFormula>K4-L4</calculatedColumnFormula>
    </tableColumn>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1217BCB-A4FA-4C37-AF78-BF59B14C80AB}" name="JointPartC" displayName="JointPartC" ref="C3:M24" totalsRowShown="0" dataDxfId="307" headerRowBorderDxfId="308" tableBorderDxfId="306" totalsRowBorderDxfId="305">
  <autoFilter ref="C3:M24" xr:uid="{B1217BCB-A4FA-4C37-AF78-BF59B14C80AB}">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E7FF9025-177F-4929-AC17-4F72E43D821F}" name="Budget item" dataDxfId="304"/>
    <tableColumn id="2" xr3:uid="{B51CF0BA-3885-4BB9-A717-3C356D4EC6A4}" name="Application budget" dataDxfId="303"/>
    <tableColumn id="3" xr3:uid="{14A62FF5-760B-4BB5-A891-027F59715C8B}" name="Revised budget (Budget Period)" dataDxfId="302"/>
    <tableColumn id="4" xr3:uid="{62A35226-3435-48F4-A4A2-45C9A98A1FAC}" name="Expenditures during Budget Period" dataDxfId="301"/>
    <tableColumn id="9" xr3:uid="{137A105A-EFCB-4B30-8A5C-671680EC612A}" name="Unexpended funds after Budget Period" dataDxfId="300">
      <calculatedColumnFormula>E4-F4</calculatedColumnFormula>
    </tableColumn>
    <tableColumn id="5" xr3:uid="{32E72180-24C2-4D4C-AC1E-C72A66539558}" name="Tydings Period budget" dataDxfId="299"/>
    <tableColumn id="12" xr3:uid="{9D81E48E-8C6C-4CFA-986D-42973F69A9CD}" name="Revised budget (Tydings Period)" dataDxfId="298"/>
    <tableColumn id="6" xr3:uid="{DC26857B-80A6-4995-BB51-6B16B808EE16}" name="Expenditures during Tydings Period" dataDxfId="297"/>
    <tableColumn id="10" xr3:uid="{4BFE82F0-E728-4FA7-A614-1827CBB26B30}" name="Unexpended funds after Tydings Period" dataDxfId="296">
      <calculatedColumnFormula>H4-J4</calculatedColumnFormula>
    </tableColumn>
    <tableColumn id="7" xr3:uid="{BE189721-CBDC-4C3E-BF67-F6F75CEC172E}" name="Expenditures during Liquidation Period that were obligated before end of Tydings Period" dataDxfId="295"/>
    <tableColumn id="11" xr3:uid="{B6A3DA8A-8917-401E-9FE6-6F2C300B4C11}" name="Unexpended funds after Liquidation Period" dataDxfId="294">
      <calculatedColumnFormula>K4-L4</calculatedColumnFormula>
    </tableColumn>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ifr.wested.org/contact/" TargetMode="External"/></Relationships>
</file>

<file path=xl/worksheets/_rels/sheet10.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6.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8.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0.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3.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4.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15.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16.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17.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18.bin"/></Relationships>
</file>

<file path=xl/worksheets/_rels/sheet26.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19.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table" Target="../tables/table3.xml"/></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table" Target="../tables/table5.xml"/></Relationships>
</file>

<file path=xl/worksheets/_rels/sheet9.xml.rels><?xml version="1.0" encoding="UTF-8" standalone="yes"?>
<Relationships xmlns="http://schemas.openxmlformats.org/package/2006/relationships"><Relationship Id="rId1" Type="http://schemas.openxmlformats.org/officeDocument/2006/relationships/table" Target="../tables/table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7030A0"/>
  </sheetPr>
  <dimension ref="A1:J20"/>
  <sheetViews>
    <sheetView showGridLines="0" tabSelected="1" workbookViewId="0"/>
  </sheetViews>
  <sheetFormatPr defaultColWidth="0" defaultRowHeight="14.5" zeroHeight="1" x14ac:dyDescent="0.35"/>
  <cols>
    <col min="1" max="1" width="68.81640625" customWidth="1"/>
    <col min="2" max="10" width="9.1796875" customWidth="1"/>
    <col min="11" max="16384" width="9.1796875" hidden="1"/>
  </cols>
  <sheetData>
    <row r="1" spans="1:10" ht="149.15" customHeight="1" x14ac:dyDescent="0.35">
      <c r="A1" s="141" t="s">
        <v>218</v>
      </c>
      <c r="J1" s="81"/>
    </row>
    <row r="2" spans="1:10" x14ac:dyDescent="0.35">
      <c r="A2" s="1" t="s">
        <v>0</v>
      </c>
    </row>
    <row r="3" spans="1:10" x14ac:dyDescent="0.35"/>
    <row r="4" spans="1:10" ht="26" x14ac:dyDescent="0.35">
      <c r="A4" s="71" t="s">
        <v>1</v>
      </c>
    </row>
    <row r="5" spans="1:10" x14ac:dyDescent="0.35">
      <c r="A5" s="72"/>
    </row>
    <row r="6" spans="1:10" ht="26" x14ac:dyDescent="0.35">
      <c r="A6" s="73" t="s">
        <v>219</v>
      </c>
    </row>
    <row r="7" spans="1:10" x14ac:dyDescent="0.35"/>
    <row r="8" spans="1:10" ht="72" x14ac:dyDescent="0.35">
      <c r="A8" s="120" t="s">
        <v>2</v>
      </c>
    </row>
    <row r="9" spans="1:10" x14ac:dyDescent="0.35"/>
    <row r="10" spans="1:10" ht="91.5" x14ac:dyDescent="0.35">
      <c r="A10" s="85" t="s">
        <v>220</v>
      </c>
    </row>
    <row r="11" spans="1:10" x14ac:dyDescent="0.35"/>
    <row r="12" spans="1:10" x14ac:dyDescent="0.35">
      <c r="A12" s="133" t="s">
        <v>3</v>
      </c>
    </row>
    <row r="13" spans="1:10" x14ac:dyDescent="0.35">
      <c r="A13" s="134" t="s">
        <v>4</v>
      </c>
    </row>
    <row r="14" spans="1:10" x14ac:dyDescent="0.35">
      <c r="A14" s="142" t="s">
        <v>5</v>
      </c>
      <c r="B14" s="142"/>
      <c r="C14" s="142"/>
      <c r="D14" s="142"/>
      <c r="E14" s="142"/>
      <c r="F14" s="142"/>
      <c r="G14" s="142"/>
      <c r="H14" s="142"/>
      <c r="I14" s="142"/>
      <c r="J14" s="142"/>
    </row>
    <row r="17" customFormat="1" hidden="1" x14ac:dyDescent="0.35"/>
    <row r="18" customFormat="1" hidden="1" x14ac:dyDescent="0.35"/>
    <row r="19" customFormat="1" hidden="1" x14ac:dyDescent="0.35"/>
    <row r="20" customFormat="1" hidden="1" x14ac:dyDescent="0.35"/>
  </sheetData>
  <sheetProtection algorithmName="SHA-512" hashValue="nSK9FycugWmA/3L7RUUbdNe81+nCQzQnKMNFPw8CPD+DJwnVHUBeD6oMDu/u2Mrr77i0ZX6m9U/Jxwjlr8OXdw==" saltValue="IhJclHp++rGTBN50t2X2TQ==" spinCount="100000" sheet="1" objects="1" scenarios="1"/>
  <mergeCells count="1">
    <mergeCell ref="A14:J14"/>
  </mergeCells>
  <hyperlinks>
    <hyperlink ref="A13" r:id="rId1" xr:uid="{C0F5E76B-FA6D-4E55-B2F9-F1160B51063A}"/>
  </hyperlink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186</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M24" si="0">SUM(F4:F23)</f>
        <v>0</v>
      </c>
      <c r="G24" s="39">
        <f t="shared" si="0"/>
        <v>0</v>
      </c>
      <c r="H24" s="41">
        <f>IF('Getting Started'!D15="No","",SUM(H4:H23))</f>
        <v>0</v>
      </c>
      <c r="I24" s="41">
        <f>IF('Getting Started'!D16="No","",SUM(I4:I23))</f>
        <v>0</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ZWDUDDwhekZxlY7n4Vr0b74eMaXcXL7to+t/IpQnD0/3ypPDysee98+osVCwfR4feObzc3y7iJB7nPYo0pTPYg==" saltValue="hryvTlE5gAQjoWX1Ei34zw==" spinCount="100000" sheet="1" objects="1" scenarios="1"/>
  <mergeCells count="1">
    <mergeCell ref="A28:N28"/>
  </mergeCells>
  <conditionalFormatting sqref="G4:G24 K4:K24 M4:M24">
    <cfRule type="cellIs" dxfId="66" priority="1" operator="lessThan">
      <formula>0</formula>
    </cfRule>
  </conditionalFormatting>
  <dataValidations count="3">
    <dataValidation allowBlank="1" showInputMessage="1" showErrorMessage="1" prompt="To create a revised budget, select &quot;Yes&quot; in cell D14 on the Getting Started tab." sqref="E4" xr:uid="{D53F9BEC-1AD9-46CF-8CF6-69CABD5D5050}"/>
    <dataValidation allowBlank="1" showInputMessage="1" showErrorMessage="1" prompt="To create a Tydings Period budget, select “Yes” in cell D15 on the Getting Started tab." sqref="H4" xr:uid="{587F73E8-C637-42DB-8EBE-1D80023435C7}"/>
    <dataValidation allowBlank="1" showInputMessage="1" showErrorMessage="1" prompt="To create a revised Tydings Period budget, select “Yes” in cell D16 on the Getting Started tab." sqref="I4" xr:uid="{9BB3FA05-FA3C-4606-B2C3-13226927F0D2}"/>
  </dataValidations>
  <hyperlinks>
    <hyperlink ref="A2" location="'Table of Contents'!A1" display="Table of Contents" xr:uid="{2CDAEBFE-9717-4E7A-8735-1F6123D8CC9C}"/>
    <hyperlink ref="A3" location="'Getting Started'!A1" display="Getting Started" xr:uid="{2DD0A6D8-5DDE-4427-9488-6ECA4804618E}"/>
    <hyperlink ref="A6" location="'a. Part B Administration'!A1" display="a. Part B Administration" xr:uid="{B2F617CE-B80D-4407-8548-3D142FEFCC17}"/>
    <hyperlink ref="A7" location="'b. Part C Administration'!A1" display="b. Part C Administration" xr:uid="{CF53AD94-C247-4FE5-BB35-B790BF269EB4}"/>
    <hyperlink ref="A9" location="'d. PBIS and Mental Health'!A1" display="d. PBIS and Mental Health" xr:uid="{4FD98427-7C43-4F53-9D40-45076C9B0956}"/>
    <hyperlink ref="A10" location="'e. Personnel Shortages'!A1" display="e. Personnel Shortages" xr:uid="{0030C3C6-6071-4924-8015-1E79397C718D}"/>
    <hyperlink ref="A8" location="'c. Support and Direct Services'!A1" display="c. Support and Direct Services" xr:uid="{D5E03093-871A-4596-8FDA-9F7496DEB5CE}"/>
    <hyperlink ref="A12" location="'g. Joint Part C Policy'!A1" display="g. Joint Part C Policy" xr:uid="{170F4978-1A2E-4F39-8E8A-EBB8CBE8FCD7}"/>
    <hyperlink ref="A14" location="'h. Monitoring and Enforcement'!A1" display="h. Monitoring and Enforcement" xr:uid="{668A7EA6-EDB0-49EC-AD9B-A626DF5C84DA}"/>
    <hyperlink ref="A15" location="'i. Mediation Process'!A1" display="i. Mediation Process" xr:uid="{C970D4EA-B117-48A1-B911-8EF2253621BC}"/>
    <hyperlink ref="A16" location="'j. Support and Direct Services'!A1" display="j. Support and Direct Services" xr:uid="{0612F716-EEC0-40A8-9B0C-5A9BF9DFF15E}"/>
    <hyperlink ref="A17" location="'k. PBIS and Mental Health'!A1" display="k. PBIS and Mental Health" xr:uid="{6FF61AF5-8031-4968-98E3-C5B244DFA099}"/>
    <hyperlink ref="A18" location="'l. Personnel Shortages'!A1" display="l. Personnel Shortages" xr:uid="{88CFD2ED-0163-4EC5-8536-BC7B8A7061E5}"/>
    <hyperlink ref="A19" location="'m. Capacity Building'!A1" display="m. Capacity Building" xr:uid="{E46DE662-3457-4633-93C2-135ECFF5FEC4}"/>
    <hyperlink ref="A20" location="'n. Paperwork Reduction'!A1" display="n. Paperwork Reduction" xr:uid="{EEF19A2A-28F2-4242-AB90-3586A7AAB94B}"/>
    <hyperlink ref="A21" location="'o. Improve Tech Use in Class'!A1" display="o. Improve Tech Use in Class" xr:uid="{0C6D0913-614C-4E5F-AFEB-89F4436F538E}"/>
    <hyperlink ref="A22" location="'p. Technology for Access'!A1" display="p. Technology for Access" xr:uid="{305FB6A7-1923-4B10-930E-012A7241FE74}"/>
    <hyperlink ref="A23" location="'q. Transition Programs'!A1" display="q. Transition Programs" xr:uid="{677B3F9C-2BE6-4F87-9544-ED294216E3A2}"/>
    <hyperlink ref="A24" location="'r. Alternative Programming'!A1" display="r. Alternative Programming" xr:uid="{B29C00FF-39EB-402D-80A4-5D588686DF2C}"/>
    <hyperlink ref="A26" location="'t. TA for Acad Achievement'!A1" display="t. TA for Acad Achievement" xr:uid="{45936C77-AEDE-4878-956B-6A09946310B1}"/>
    <hyperlink ref="A27" location="'u-v. High Cost Fund'!A1" display="u-v. High Cost Fund" xr:uid="{1C84F204-2AC3-41DD-9F9F-B12AE38DAA85}"/>
    <hyperlink ref="A4" location="'State Set-Aside Overview'!A1" display="State Set-Aside Overview" xr:uid="{03C1AABE-AAAE-46B3-8287-040D8A212900}"/>
    <hyperlink ref="A11" location="'f. Capacity Building'!A1" display="f. Capacity Building" xr:uid="{0E5C7B17-E5C4-49C9-999B-43A709BB3784}"/>
    <hyperlink ref="A25" location="'s. Accom and Alt Assessments'!A1" display="s. Accom and Alt Assessments" xr:uid="{8EA0B520-FC86-4CC7-A4FD-E11ADAAFB045}"/>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E22C951-85FA-4BEC-A84D-37AB868030CD}">
            <xm:f>'Getting Started'!$D$14="No"</xm:f>
            <x14:dxf>
              <fill>
                <patternFill>
                  <bgColor theme="1"/>
                </patternFill>
              </fill>
            </x14:dxf>
          </x14:cfRule>
          <xm:sqref>E4:E24</xm:sqref>
        </x14:conditionalFormatting>
        <x14:conditionalFormatting xmlns:xm="http://schemas.microsoft.com/office/excel/2006/main">
          <x14:cfRule type="expression" priority="2" id="{E709FDE3-9FC6-4B98-ADBF-69A786304028}">
            <xm:f>'Getting Started'!$D$15="No"</xm:f>
            <x14:dxf>
              <fill>
                <patternFill>
                  <bgColor theme="1"/>
                </patternFill>
              </fill>
            </x14:dxf>
          </x14:cfRule>
          <xm:sqref>H4:H24</xm:sqref>
        </x14:conditionalFormatting>
        <x14:conditionalFormatting xmlns:xm="http://schemas.microsoft.com/office/excel/2006/main">
          <x14:cfRule type="expression" priority="3" id="{B1EA2EAC-D386-4A61-B0C8-91C8A1B1FDDA}">
            <xm:f>'Getting Started'!$D$16="No"</xm:f>
            <x14:dxf>
              <fill>
                <patternFill>
                  <bgColor theme="1"/>
                </patternFill>
              </fill>
            </x14:dxf>
          </x14:cfRule>
          <xm:sqref>I4:I24</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187</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M24" si="0">SUM(F4:F23)</f>
        <v>0</v>
      </c>
      <c r="G24" s="39">
        <f t="shared" si="0"/>
        <v>0</v>
      </c>
      <c r="H24" s="41">
        <f>IF('Getting Started'!D15="No","",SUM(H4:H23))</f>
        <v>0</v>
      </c>
      <c r="I24" s="41">
        <f>IF('Getting Started'!D16="No","",SUM(I4:I23))</f>
        <v>0</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vDK9vHU6DzKCVZPih8CEEcRfPF01buG4Fr6YjWdSrQYhpqPfpaQ2MONKX9BjlxOuC8w3ppYdj1MqA4Cqok15dA==" saltValue="+uBB2W+pFOzibKNBt10MwA==" spinCount="100000" sheet="1" objects="1" scenarios="1"/>
  <mergeCells count="1">
    <mergeCell ref="A28:N28"/>
  </mergeCells>
  <conditionalFormatting sqref="G4:G24 K4:K24 M4:M24">
    <cfRule type="cellIs" dxfId="62" priority="1" operator="lessThan">
      <formula>0</formula>
    </cfRule>
  </conditionalFormatting>
  <dataValidations count="3">
    <dataValidation allowBlank="1" showInputMessage="1" showErrorMessage="1" prompt="To create a revised budget, select &quot;Yes&quot; in cell D14 on the Getting Started tab." sqref="E4" xr:uid="{4B4BF309-FB8C-4060-9D68-106C705256EF}"/>
    <dataValidation allowBlank="1" showInputMessage="1" showErrorMessage="1" prompt="To create a Tydings Period budget, select “Yes” in cell D15 on the Getting Started tab." sqref="H4" xr:uid="{70429DD8-C4DB-442B-81D9-52008F25AB4E}"/>
    <dataValidation allowBlank="1" showInputMessage="1" showErrorMessage="1" prompt="To create a revised Tydings Period budget, select “Yes” in cell D16 on the Getting Started tab." sqref="I4" xr:uid="{35B99274-B2C8-4A8F-BDA0-1C5CD2F6FC84}"/>
  </dataValidations>
  <hyperlinks>
    <hyperlink ref="A2" location="'Table of Contents'!A1" display="Table of Contents" xr:uid="{33145291-2421-479C-9D65-0F903E05DC1D}"/>
    <hyperlink ref="A3" location="'Getting Started'!A1" display="Getting Started" xr:uid="{870EA8BA-F836-4370-824A-E530D71FE000}"/>
    <hyperlink ref="A6" location="'a. Part B Administration'!A1" display="a. Part B Administration" xr:uid="{E5CFACFD-1FBA-46AA-9177-11F517ACA353}"/>
    <hyperlink ref="A7" location="'b. Part C Administration'!A1" display="b. Part C Administration" xr:uid="{9E97B323-A1B9-49FC-88F0-B06C6F9647E4}"/>
    <hyperlink ref="A9" location="'d. PBIS and Mental Health'!A1" display="d. PBIS and Mental Health" xr:uid="{0E97B74A-7ED6-4352-ACF5-C74AF153B64E}"/>
    <hyperlink ref="A10" location="'e. Personnel Shortages'!A1" display="e. Personnel Shortages" xr:uid="{0FFB0324-9816-47E2-9FAE-9349E483721A}"/>
    <hyperlink ref="A8" location="'c. Support and Direct Services'!A1" display="c. Support and Direct Services" xr:uid="{89450996-1E29-41A4-9FFE-22B8780FECD2}"/>
    <hyperlink ref="A11" location="'f. Capacity Building'!A1" display="f. Capacity Building" xr:uid="{716B0CC0-7E4F-42EB-93AE-A9D6CD3F1A5F}"/>
    <hyperlink ref="A12" location="'g. Joint Part C Policy'!A1" display="g. Joint Part C Policy" xr:uid="{D369EE98-0BFF-4A26-8576-BB9BC57545C3}"/>
    <hyperlink ref="A14" location="'h. Monitoring and Enforcement'!A1" display="h. Monitoring and Enforcement" xr:uid="{A92FF424-F9F8-44A2-883D-5440C096F778}"/>
    <hyperlink ref="A15" location="'i. Mediation Process'!A1" display="i. Mediation Process" xr:uid="{6B725554-DB24-49E0-B471-2A59AC89361C}"/>
    <hyperlink ref="A16" location="'j. Support and Direct Services'!A1" display="j. Support and Direct Services" xr:uid="{34124AE1-6E53-470E-BF70-A045CCAE0A24}"/>
    <hyperlink ref="A17" location="'k. PBIS and Mental Health'!A1" display="k. PBIS and Mental Health" xr:uid="{8A9098D7-AD4F-45D0-95D5-6914218F37F2}"/>
    <hyperlink ref="A18" location="'l. Personnel Shortages'!A1" display="l. Personnel Shortages" xr:uid="{81B0ABD0-1ACA-45D1-95FF-3F94041DE15B}"/>
    <hyperlink ref="A19" location="'m. Capacity Building'!A1" display="m. Capacity Building" xr:uid="{6BA65DB6-2183-476E-BDDB-BCECB135C2E0}"/>
    <hyperlink ref="A20" location="'n. Paperwork Reduction'!A1" display="n. Paperwork Reduction" xr:uid="{88076EFF-18F8-4A26-BE4A-DEE37E32F601}"/>
    <hyperlink ref="A21" location="'o. Improve Tech Use in Class'!A1" display="o. Improve Tech Use in Class" xr:uid="{9F185CF8-75B5-416B-BE11-AA50069439B7}"/>
    <hyperlink ref="A22" location="'p. Technology for Access'!A1" display="p. Technology for Access" xr:uid="{AA709001-FD7B-440B-93E3-1A730E311A90}"/>
    <hyperlink ref="A23" location="'q. Transition Programs'!A1" display="q. Transition Programs" xr:uid="{B1C162A3-831B-4630-A259-3672DC67AFC1}"/>
    <hyperlink ref="A24" location="'r. Alternative Programming'!A1" display="r. Alternative Programming" xr:uid="{61B56C6D-A675-417F-9F3E-EB69638CFE2F}"/>
    <hyperlink ref="A26" location="'t. TA for Acad Achievement'!A1" display="t. TA for Acad Achievement" xr:uid="{CBF6FCC4-AB57-4737-A17B-3F656830E57A}"/>
    <hyperlink ref="A27" location="'u-v. High Cost Fund'!A1" display="u-v. High Cost Fund" xr:uid="{E54E0E4B-30B6-4AC6-8F06-B9E463672AB0}"/>
    <hyperlink ref="A4" location="'State Set-Aside Overview'!A1" display="State Set-Aside Overview" xr:uid="{7DEA97F1-58D3-45A2-9EF0-356895233814}"/>
    <hyperlink ref="A25" location="'s. Accom and Alt Assessments'!A1" display="s. Accom and Alt Assessments" xr:uid="{CAB0E676-D515-48F1-AC4C-48EAF95970DF}"/>
  </hyperlinks>
  <pageMargins left="0.7" right="0.7" top="0.75" bottom="0.75" header="0.3" footer="0.3"/>
  <ignoredErrors>
    <ignoredError sqref="E5:E23 H5:I23" unlockedFormula="1"/>
    <ignoredError sqref="E24" formula="1"/>
    <ignoredError sqref="G4:G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6F0E423A-82DF-4570-9023-7DD14FE5D8BB}">
            <xm:f>'Getting Started'!$D$14="No"</xm:f>
            <x14:dxf>
              <fill>
                <patternFill>
                  <bgColor theme="1"/>
                </patternFill>
              </fill>
            </x14:dxf>
          </x14:cfRule>
          <xm:sqref>E4:E24</xm:sqref>
        </x14:conditionalFormatting>
        <x14:conditionalFormatting xmlns:xm="http://schemas.microsoft.com/office/excel/2006/main">
          <x14:cfRule type="expression" priority="2" id="{9E27A495-FF56-4BBD-9053-D80943E6784D}">
            <xm:f>'Getting Started'!$D$15="No"</xm:f>
            <x14:dxf>
              <fill>
                <patternFill>
                  <bgColor theme="1"/>
                </patternFill>
              </fill>
            </x14:dxf>
          </x14:cfRule>
          <xm:sqref>H4:H24</xm:sqref>
        </x14:conditionalFormatting>
        <x14:conditionalFormatting xmlns:xm="http://schemas.microsoft.com/office/excel/2006/main">
          <x14:cfRule type="expression" priority="3" id="{67053A56-D145-4185-A2A6-53E2115D6D67}">
            <xm:f>'Getting Started'!$D$16="No"</xm:f>
            <x14:dxf>
              <fill>
                <patternFill>
                  <bgColor theme="1"/>
                </patternFill>
              </fill>
            </x14:dxf>
          </x14:cfRule>
          <xm:sqref>I4:I24</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42.75" customHeight="1" x14ac:dyDescent="0.35">
      <c r="A1" s="77" t="s">
        <v>57</v>
      </c>
      <c r="C1" s="67" t="str">
        <f>IF('Getting Started'!D9="","Joint Part C Policy",IF('Getting Started'!D9="Yes","Joint Part C Policy",IF('Getting Started'!D9="No","Because you said that your state does not Preschool Grant under 20 USC §1419, this cost category does not apply to your SEA. To change this, edit your response in cell D9 on the Getting Started tab.")))</f>
        <v>Joint Part C Policy</v>
      </c>
      <c r="D1" s="66"/>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900000</v>
      </c>
      <c r="E4" s="38">
        <v>720000</v>
      </c>
      <c r="F4" s="17">
        <v>345000</v>
      </c>
      <c r="G4" s="39">
        <f>IF('Getting Started'!D$14="No",D4-F4,IF('Getting Started'!D$14="Yes",E4-F4,""))</f>
        <v>375000</v>
      </c>
      <c r="H4" s="60">
        <f>IF('Getting Started'!D$15="Yes",G4,"")</f>
        <v>375000</v>
      </c>
      <c r="I4" s="61">
        <f>IF('Getting Started'!D$16="Yes",H4,"")</f>
        <v>375000</v>
      </c>
      <c r="J4" s="62">
        <v>375000</v>
      </c>
      <c r="K4" s="39">
        <f>IF('Getting Started'!D$15="No","",IF('Getting Started'!D$16="No",H4-J4,IF('Getting Started'!D$16="Yes",I4-J4,"")))</f>
        <v>0</v>
      </c>
      <c r="L4" s="63"/>
      <c r="M4" s="39">
        <f>IF('Getting Started'!D$15="No","",K4-L4)</f>
        <v>0</v>
      </c>
    </row>
    <row r="5" spans="1:13" x14ac:dyDescent="0.35">
      <c r="A5" s="95" t="s">
        <v>66</v>
      </c>
      <c r="C5" s="64" t="s">
        <v>181</v>
      </c>
      <c r="D5" s="16"/>
      <c r="E5" s="38">
        <v>180000</v>
      </c>
      <c r="F5" s="17">
        <v>60000</v>
      </c>
      <c r="G5" s="39">
        <f>IF('Getting Started'!D$14="No",D5-F5,IF('Getting Started'!D$14="Yes",E5-F5,""))</f>
        <v>120000</v>
      </c>
      <c r="H5" s="60">
        <f>IF('Getting Started'!D$15="Yes",G5,"")</f>
        <v>120000</v>
      </c>
      <c r="I5" s="61">
        <f>IF('Getting Started'!D$16="Yes",H5,"")</f>
        <v>120000</v>
      </c>
      <c r="J5" s="62">
        <v>120000</v>
      </c>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900000</v>
      </c>
      <c r="E24" s="41">
        <f>IF('Getting Started'!D14="No","",SUM(E4:E23))</f>
        <v>900000</v>
      </c>
      <c r="F24" s="41">
        <f t="shared" ref="F24:M24" si="0">SUM(F4:F23)</f>
        <v>405000</v>
      </c>
      <c r="G24" s="39">
        <f t="shared" si="0"/>
        <v>495000</v>
      </c>
      <c r="H24" s="41">
        <f>IF('Getting Started'!D15="No","",SUM(H4:H23))</f>
        <v>495000</v>
      </c>
      <c r="I24" s="41">
        <f>IF('Getting Started'!D16="No","",SUM(I4:I23))</f>
        <v>495000</v>
      </c>
      <c r="J24" s="39">
        <f t="shared" si="0"/>
        <v>495000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SewNNHOKuHWhgZEHcalh744DLvrG2ONYEVbxFdtVJSd6iB8ukY/O/iE0d8137IPreGNsMmCEhrGME75HLhjn/w==" saltValue="wKZOX/IKZa/bMcq32Eb9JQ==" spinCount="100000" sheet="1" objects="1" scenarios="1"/>
  <mergeCells count="1">
    <mergeCell ref="A28:N28"/>
  </mergeCells>
  <conditionalFormatting sqref="G4:G24 K4:K24 M4:M24">
    <cfRule type="cellIs" dxfId="57" priority="1" operator="lessThan">
      <formula>0</formula>
    </cfRule>
  </conditionalFormatting>
  <dataValidations count="3">
    <dataValidation allowBlank="1" showInputMessage="1" showErrorMessage="1" prompt="To create a revised budget, select &quot;Yes&quot; in cell D14 on the Getting Started tab." sqref="E4" xr:uid="{A7EA87D2-9CAE-43A7-91D5-3F0614F09566}"/>
    <dataValidation allowBlank="1" showInputMessage="1" showErrorMessage="1" prompt="To create a Tydings Period budget, select “Yes” in cell D15 on the Getting Started tab." sqref="H4" xr:uid="{A818B114-BB40-46D4-B2A6-237E2B349A21}"/>
    <dataValidation allowBlank="1" showInputMessage="1" showErrorMessage="1" prompt="To create a revised Tydings Period budget, select “Yes” in cell D16 on the Getting Started tab." sqref="I4" xr:uid="{3CF5DDD3-D9E2-439F-A9B3-F89F2064371A}"/>
  </dataValidations>
  <hyperlinks>
    <hyperlink ref="A2" location="'Table of Contents'!A1" display="Table of Contents" xr:uid="{A00FC825-2272-4124-9250-2186CC7049E4}"/>
    <hyperlink ref="A3" location="'Getting Started'!A1" display="Getting Started" xr:uid="{AB15C7E5-15DF-46FB-97E5-FB1B8D633324}"/>
    <hyperlink ref="A6" location="'a. Part B Administration'!A1" display="a. Part B Administration" xr:uid="{A507BBBA-7048-45A8-8F9D-9CA65B367A11}"/>
    <hyperlink ref="A7" location="'b. Part C Administration'!A1" display="b. Part C Administration" xr:uid="{47CDCA43-885F-4912-A8D5-20434D3387AF}"/>
    <hyperlink ref="A9" location="'d. PBIS and Mental Health'!A1" display="d. PBIS and Mental Health" xr:uid="{98C1B606-B75E-4153-8BFB-650052BCCF00}"/>
    <hyperlink ref="A10" location="'e. Personnel Shortages'!A1" display="e. Personnel Shortages" xr:uid="{295551C9-EAA6-45AD-95F0-F80C15581895}"/>
    <hyperlink ref="A8" location="'c. Support and Direct Services'!A1" display="c. Support and Direct Services" xr:uid="{CC5E4B50-6BB4-4F70-B855-A37F8A075033}"/>
    <hyperlink ref="A11" location="'f. Capacity Building'!A1" display="f. Capacity Building" xr:uid="{DBBEBD8A-6FF1-4523-979D-D16F6A2906BE}"/>
    <hyperlink ref="A12" location="'g. Joint Part C Policy'!A1" display="g. Joint Part C Policy" xr:uid="{19D08E5E-39D6-46CA-A745-3F26C73B1797}"/>
    <hyperlink ref="A14" location="'h. Monitoring and Enforcement'!A1" display="h. Monitoring and Enforcement" xr:uid="{8EC3967A-BAC2-4A30-9258-6416AB3E7096}"/>
    <hyperlink ref="A15" location="'i. Mediation Process'!A1" display="i. Mediation Process" xr:uid="{DBC0C0CE-5784-4E84-A359-CB0828E972A2}"/>
    <hyperlink ref="A16" location="'j. Support and Direct Services'!A1" display="j. Support and Direct Services" xr:uid="{2B980464-3FC4-42F2-94F3-4DB54D3B6581}"/>
    <hyperlink ref="A17" location="'k. PBIS and Mental Health'!A1" display="k. PBIS and Mental Health" xr:uid="{367317D2-27A0-4864-974E-8289D38BBCDE}"/>
    <hyperlink ref="A18" location="'l. Personnel Shortages'!A1" display="l. Personnel Shortages" xr:uid="{C83442AA-2CAE-4ED5-89C5-CCC526DDF8D6}"/>
    <hyperlink ref="A19" location="'m. Capacity Building'!A1" display="m. Capacity Building" xr:uid="{76BD77E1-6AC5-4C81-811B-C91352BBF36F}"/>
    <hyperlink ref="A20" location="'n. Paperwork Reduction'!A1" display="n. Paperwork Reduction" xr:uid="{7FCC7F4F-647F-48CB-AC93-DC9A5B65F8DE}"/>
    <hyperlink ref="A21" location="'o. Improve Tech Use in Class'!A1" display="o. Improve Tech Use in Class" xr:uid="{4B82055D-862A-4935-8BB5-DD0B4B1FC5E1}"/>
    <hyperlink ref="A22" location="'p. Technology for Access'!A1" display="p. Technology for Access" xr:uid="{354635C4-72E8-497B-94CD-46F0EC421CB7}"/>
    <hyperlink ref="A23" location="'q. Transition Programs'!A1" display="q. Transition Programs" xr:uid="{A1120911-7480-4407-856A-A018D78A2B98}"/>
    <hyperlink ref="A24" location="'r. Alternative Programming'!A1" display="r. Alternative Programming" xr:uid="{45366704-1F07-4424-AB5D-A264ECC8C7CA}"/>
    <hyperlink ref="A26" location="'t. TA for Acad Achievement'!A1" display="t. TA for Acad Achievement" xr:uid="{E1E51AF8-8AEE-4E7C-86DE-4D6E3A43D4BB}"/>
    <hyperlink ref="A27" location="'u-v. High Cost Fund'!A1" display="u-v. High Cost Fund" xr:uid="{FA2F3DB7-E6EC-43EF-B3F7-60541CF5D45A}"/>
    <hyperlink ref="A4" location="'State Set-Aside Overview'!A1" display="State Set-Aside Overview" xr:uid="{2CF04754-9431-4B59-BF23-CD03B691A61B}"/>
    <hyperlink ref="A25" location="'s. Accom and Alt Assessments'!A1" display="s. Accom and Alt Assessments" xr:uid="{4AA473F4-5FA2-4820-BAE3-2461FD64C459}"/>
  </hyperlinks>
  <pageMargins left="0.7" right="0.7" top="0.75" bottom="0.75" header="0.3" footer="0.3"/>
  <ignoredErrors>
    <ignoredError sqref="E6:E23 H5:I23" unlockedFormula="1"/>
    <ignoredError sqref="E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2" id="{BCE1C91E-783D-4F62-83CB-C0B5B5BAC58F}">
            <xm:f>'Getting Started'!$D$9="No"</xm:f>
            <x14:dxf>
              <fill>
                <patternFill>
                  <bgColor theme="1"/>
                </patternFill>
              </fill>
            </x14:dxf>
          </x14:cfRule>
          <xm:sqref>C4:M24</xm:sqref>
        </x14:conditionalFormatting>
        <x14:conditionalFormatting xmlns:xm="http://schemas.microsoft.com/office/excel/2006/main">
          <x14:cfRule type="expression" priority="5" id="{7A469148-1B63-423D-8F56-3AF45C39A0ED}">
            <xm:f>'Getting Started'!$D$14="No"</xm:f>
            <x14:dxf>
              <fill>
                <patternFill>
                  <bgColor theme="1"/>
                </patternFill>
              </fill>
            </x14:dxf>
          </x14:cfRule>
          <xm:sqref>E4:E24</xm:sqref>
        </x14:conditionalFormatting>
        <x14:conditionalFormatting xmlns:xm="http://schemas.microsoft.com/office/excel/2006/main">
          <x14:cfRule type="expression" priority="3" id="{6122F96F-B664-420F-A07A-BAB2A5C97232}">
            <xm:f>'Getting Started'!$D$15="No"</xm:f>
            <x14:dxf>
              <fill>
                <patternFill>
                  <bgColor theme="1"/>
                </patternFill>
              </fill>
            </x14:dxf>
          </x14:cfRule>
          <xm:sqref>H4:H24</xm:sqref>
        </x14:conditionalFormatting>
        <x14:conditionalFormatting xmlns:xm="http://schemas.microsoft.com/office/excel/2006/main">
          <x14:cfRule type="expression" priority="4" id="{A27BF746-8840-4F1A-A376-2379C053780D}">
            <xm:f>'Getting Started'!$D$16="No"</xm:f>
            <x14:dxf>
              <fill>
                <patternFill>
                  <bgColor theme="1"/>
                </patternFill>
              </fill>
            </x14:dxf>
          </x14:cfRule>
          <xm:sqref>I4:I24</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189</v>
      </c>
      <c r="D4" s="16">
        <v>140000</v>
      </c>
      <c r="E4" s="38">
        <v>170000</v>
      </c>
      <c r="F4" s="17">
        <v>85000</v>
      </c>
      <c r="G4" s="39">
        <f>IF('Getting Started'!D$14="No",D4-F4,IF('Getting Started'!D$14="Yes",E4-F4,""))</f>
        <v>85000</v>
      </c>
      <c r="H4" s="60">
        <f>IF('Getting Started'!D$15="Yes",G4,"")</f>
        <v>85000</v>
      </c>
      <c r="I4" s="61">
        <f>IF('Getting Started'!D$16="Yes",H4,"")</f>
        <v>85000</v>
      </c>
      <c r="J4" s="62">
        <v>85000</v>
      </c>
      <c r="K4" s="39">
        <f>IF('Getting Started'!D$15="No","",IF('Getting Started'!D$16="No",H4-J4,IF('Getting Started'!D$16="Yes",I4-J4,"")))</f>
        <v>0</v>
      </c>
      <c r="L4" s="63"/>
      <c r="M4" s="39">
        <f>IF('Getting Started'!D$15="No","",K4-L4)</f>
        <v>0</v>
      </c>
    </row>
    <row r="5" spans="1:13" x14ac:dyDescent="0.35">
      <c r="A5" s="95" t="s">
        <v>66</v>
      </c>
      <c r="C5" s="64" t="s">
        <v>190</v>
      </c>
      <c r="D5" s="16">
        <v>50000</v>
      </c>
      <c r="E5" s="38">
        <v>50000</v>
      </c>
      <c r="F5" s="17">
        <v>22500</v>
      </c>
      <c r="G5" s="39">
        <f>IF('Getting Started'!D$14="No",D5-F5,IF('Getting Started'!D$14="Yes",E5-F5,""))</f>
        <v>27500</v>
      </c>
      <c r="H5" s="60">
        <f>IF('Getting Started'!D$15="Yes",G5,"")</f>
        <v>27500</v>
      </c>
      <c r="I5" s="61">
        <f>IF('Getting Started'!D$16="Yes",H5,"")</f>
        <v>27500</v>
      </c>
      <c r="J5" s="62">
        <v>27500</v>
      </c>
      <c r="K5" s="39">
        <f>IF('Getting Started'!D$15="No","",IF('Getting Started'!D$16="No",H5-J5,IF('Getting Started'!D$16="Yes",I5-J5,"")))</f>
        <v>0</v>
      </c>
      <c r="L5" s="63"/>
      <c r="M5" s="39">
        <f>IF('Getting Started'!D$15="No","",K5-L5)</f>
        <v>0</v>
      </c>
    </row>
    <row r="6" spans="1:13" x14ac:dyDescent="0.35">
      <c r="A6" s="78" t="s">
        <v>14</v>
      </c>
      <c r="C6" s="64" t="s">
        <v>191</v>
      </c>
      <c r="D6" s="16">
        <v>50000</v>
      </c>
      <c r="E6" s="38">
        <v>20000</v>
      </c>
      <c r="F6" s="17">
        <v>13000</v>
      </c>
      <c r="G6" s="39">
        <f>IF('Getting Started'!D$14="No",D6-F6,IF('Getting Started'!D$14="Yes",E6-F6,""))</f>
        <v>7000</v>
      </c>
      <c r="H6" s="60">
        <f>IF('Getting Started'!D$15="Yes",G6,"")</f>
        <v>7000</v>
      </c>
      <c r="I6" s="61">
        <f>IF('Getting Started'!D$16="Yes",H6,"")</f>
        <v>7000</v>
      </c>
      <c r="J6" s="62">
        <v>7000</v>
      </c>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240000</v>
      </c>
      <c r="E24" s="41">
        <f>IF('Getting Started'!D14="No","",SUM(E4:E23))</f>
        <v>240000</v>
      </c>
      <c r="F24" s="41">
        <f t="shared" ref="F24:G24" si="0">SUM(F4:F23)</f>
        <v>120500</v>
      </c>
      <c r="G24" s="39">
        <f t="shared" si="0"/>
        <v>119500</v>
      </c>
      <c r="H24" s="41">
        <f>IF('Getting Started'!D15="No","",SUM(H4:H23))</f>
        <v>119500</v>
      </c>
      <c r="I24" s="41">
        <f>IF('Getting Started'!D16="No","",SUM(I4:I23))</f>
        <v>119500</v>
      </c>
      <c r="J24" s="39">
        <f t="shared" ref="J24:M24" si="1">SUM(J4:J23)</f>
        <v>119500</v>
      </c>
      <c r="K24" s="39">
        <f t="shared" si="1"/>
        <v>0</v>
      </c>
      <c r="L24" s="15">
        <f t="shared" si="1"/>
        <v>0</v>
      </c>
      <c r="M24" s="41">
        <f t="shared" si="1"/>
        <v>0</v>
      </c>
    </row>
    <row r="25" spans="1:14" x14ac:dyDescent="0.35">
      <c r="A25" s="78" t="s">
        <v>51</v>
      </c>
    </row>
    <row r="26" spans="1:14" x14ac:dyDescent="0.35">
      <c r="A26" s="79" t="s">
        <v>53</v>
      </c>
      <c r="C26" s="123"/>
      <c r="D26" s="19"/>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row r="31" spans="1:14" hidden="1" x14ac:dyDescent="0.35">
      <c r="D31" s="35" t="s">
        <v>192</v>
      </c>
      <c r="E31" s="6"/>
    </row>
  </sheetData>
  <sheetProtection algorithmName="SHA-512" hashValue="3V1LKyrHFyykSuBQ3kk/KPcs5T1SF4atrmJFNCK0s/83CRxB4x8du4n1HQBZ1h/2jFVK1IZRoYB9zV8PPLW9Fw==" saltValue="nkCTTL4xIfLDXZWTBPfcCQ==" spinCount="100000" sheet="1" objects="1" scenarios="1"/>
  <mergeCells count="1">
    <mergeCell ref="A28:N28"/>
  </mergeCells>
  <conditionalFormatting sqref="G4:G24 K4:K24 M4:M24">
    <cfRule type="cellIs" dxfId="53" priority="1" operator="lessThan">
      <formula>0</formula>
    </cfRule>
  </conditionalFormatting>
  <dataValidations count="3">
    <dataValidation allowBlank="1" showInputMessage="1" showErrorMessage="1" prompt="To create a revised budget, select &quot;Yes&quot; in cell D14 on the Getting Started tab." sqref="E4" xr:uid="{7706EE1E-FB4B-4E3F-8AF2-4A9343118AFC}"/>
    <dataValidation allowBlank="1" showInputMessage="1" showErrorMessage="1" prompt="To create a Tydings Period budget, select “Yes” in cell D15 on the Getting Started tab." sqref="H4" xr:uid="{F71FCBC4-13C1-4EA3-9244-A796F36A5322}"/>
    <dataValidation allowBlank="1" showInputMessage="1" showErrorMessage="1" prompt="To create a revised Tydings Period budget, select “Yes” in cell D16 on the Getting Started tab." sqref="I4" xr:uid="{A06DAEFB-02BE-44B7-84CD-2994F1D27C15}"/>
  </dataValidations>
  <hyperlinks>
    <hyperlink ref="A2" location="'Table of Contents'!A1" display="Table of Contents" xr:uid="{068E7160-FF1B-4CA5-9016-C26DC135EA71}"/>
    <hyperlink ref="A3" location="'Getting Started'!A1" display="Getting Started" xr:uid="{AB109921-8159-4C60-9838-F23BD7207867}"/>
    <hyperlink ref="A6" location="'a. Part B Administration'!A1" display="a. Part B Administration" xr:uid="{8B6D9CDC-E5B7-4FFA-B289-78D3AAC3EAB9}"/>
    <hyperlink ref="A7" location="'b. Part C Administration'!A1" display="b. Part C Administration" xr:uid="{4911CD96-725F-4A1D-89FC-7747D7E9B4CF}"/>
    <hyperlink ref="A9" location="'d. PBIS and Mental Health'!A1" display="d. PBIS and Mental Health" xr:uid="{45318614-49BD-4FEE-8111-B4A735BA00F3}"/>
    <hyperlink ref="A10" location="'e. Personnel Shortages'!A1" display="e. Personnel Shortages" xr:uid="{77201335-8E98-4D08-AFC2-94FE2E924DF2}"/>
    <hyperlink ref="A8" location="'c. Support and Direct Services'!A1" display="c. Support and Direct Services" xr:uid="{F0F5A88B-34AB-40D5-94CD-FE238C4C75B7}"/>
    <hyperlink ref="A11" location="'f. Capacity Building'!A1" display="f. Capacity Building" xr:uid="{0038EF53-D9A7-46E9-8111-043A5BE66460}"/>
    <hyperlink ref="A12" location="'g. Joint Part C Policy'!A1" display="g. Joint Part C Policy" xr:uid="{19778BF8-FBF6-49AA-9FF1-F5B53D9B962F}"/>
    <hyperlink ref="A14" location="'h. Monitoring and Enforcement'!A1" display="h. Monitoring and Enforcement" xr:uid="{EE4D831E-B053-4831-B64F-31E22BDC864E}"/>
    <hyperlink ref="A15" location="'i. Mediation Process'!A1" display="i. Mediation Process" xr:uid="{8C9AEC04-DC59-425B-BAD6-7DFC42D892D2}"/>
    <hyperlink ref="A16" location="'j. Support and Direct Services'!A1" display="j. Support and Direct Services" xr:uid="{1298B453-E0A3-4E87-AA41-5E6B796BBB2C}"/>
    <hyperlink ref="A17" location="'k. PBIS and Mental Health'!A1" display="k. PBIS and Mental Health" xr:uid="{3EDA64F4-3F27-4187-83B3-08F7E10D6DEE}"/>
    <hyperlink ref="A18" location="'l. Personnel Shortages'!A1" display="l. Personnel Shortages" xr:uid="{6FAE2B4D-29C1-481A-A207-D90EA101EF7D}"/>
    <hyperlink ref="A19" location="'m. Capacity Building'!A1" display="m. Capacity Building" xr:uid="{61DD2AD0-0391-43F5-BBE4-74D3FE325B0F}"/>
    <hyperlink ref="A20" location="'n. Paperwork Reduction'!A1" display="n. Paperwork Reduction" xr:uid="{E1597C41-7F04-4955-8005-5833F66D85C2}"/>
    <hyperlink ref="A21" location="'o. Improve Tech Use in Class'!A1" display="o. Improve Tech Use in Class" xr:uid="{0B9E64CB-A06D-492D-A0D4-A3F5C7CB16FB}"/>
    <hyperlink ref="A22" location="'p. Technology for Access'!A1" display="p. Technology for Access" xr:uid="{50FFF72E-714A-4275-86AF-176C009E4738}"/>
    <hyperlink ref="A23" location="'q. Transition Programs'!A1" display="q. Transition Programs" xr:uid="{1E806FE4-C0CD-4AD4-9475-1D88071B6BD4}"/>
    <hyperlink ref="A24" location="'r. Alternative Programming'!A1" display="r. Alternative Programming" xr:uid="{466A0177-26AE-49AB-9A0B-E793DCD2F2D5}"/>
    <hyperlink ref="A26" location="'t. TA for Acad Achievement'!A1" display="t. TA for Acad Achievement" xr:uid="{9C7511F8-5EE6-4FFA-80FC-E675DE866F27}"/>
    <hyperlink ref="A27" location="'u-v. High Cost Fund'!A1" display="u-v. High Cost Fund" xr:uid="{8F3C372B-2474-467E-874A-4F73B1E54476}"/>
    <hyperlink ref="A4" location="'State Set-Aside Overview'!A1" display="State Set-Aside Overview" xr:uid="{A409BD06-4E56-4AE2-9448-84B447C509BD}"/>
    <hyperlink ref="A25" location="'s. Accom and Alt Assessments'!A1" display="s. Accom and Alt Assessments" xr:uid="{9730C485-C797-409F-B004-94168102EBCB}"/>
  </hyperlinks>
  <pageMargins left="0.7" right="0.7" top="0.75" bottom="0.75" header="0.3" footer="0.3"/>
  <pageSetup orientation="portrait" r:id="rId1"/>
  <ignoredErrors>
    <ignoredError sqref="E7: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10C63B31-89CF-4B45-B189-69DD8DCAE3B3}">
            <xm:f>'Getting Started'!$D$14="No"</xm:f>
            <x14:dxf>
              <fill>
                <patternFill>
                  <bgColor theme="1"/>
                </patternFill>
              </fill>
            </x14:dxf>
          </x14:cfRule>
          <xm:sqref>E4:E24</xm:sqref>
        </x14:conditionalFormatting>
        <x14:conditionalFormatting xmlns:xm="http://schemas.microsoft.com/office/excel/2006/main">
          <x14:cfRule type="expression" priority="2" id="{547E8CE5-E208-442C-9851-CE3C167C623A}">
            <xm:f>'Getting Started'!$D$15="No"</xm:f>
            <x14:dxf>
              <fill>
                <patternFill>
                  <bgColor theme="1"/>
                </patternFill>
              </fill>
            </x14:dxf>
          </x14:cfRule>
          <xm:sqref>H4:H24</xm:sqref>
        </x14:conditionalFormatting>
        <x14:conditionalFormatting xmlns:xm="http://schemas.microsoft.com/office/excel/2006/main">
          <x14:cfRule type="expression" priority="3" id="{533B71BB-AE07-44D4-A1EA-6E1918755F20}">
            <xm:f>'Getting Started'!$D$16="No"</xm:f>
            <x14:dxf>
              <fill>
                <patternFill>
                  <bgColor theme="1"/>
                </patternFill>
              </fill>
            </x14:dxf>
          </x14:cfRule>
          <xm:sqref>I4:I24</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theme="8" tint="0.39997558519241921"/>
  </sheetPr>
  <dimension ref="A1:N31"/>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193</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175000</v>
      </c>
      <c r="E4" s="38">
        <v>175000</v>
      </c>
      <c r="F4" s="17">
        <v>87900</v>
      </c>
      <c r="G4" s="39">
        <f>IF('Getting Started'!D$14="No",D4-F4,IF('Getting Started'!D$14="Yes",E4-F4,""))</f>
        <v>87100</v>
      </c>
      <c r="H4" s="60">
        <f>IF('Getting Started'!D$15="Yes",G4,"")</f>
        <v>87100</v>
      </c>
      <c r="I4" s="61">
        <f>IF('Getting Started'!D$16="Yes",H4,"")</f>
        <v>87100</v>
      </c>
      <c r="J4" s="62">
        <v>87100</v>
      </c>
      <c r="K4" s="39">
        <f>IF('Getting Started'!D$15="No","",IF('Getting Started'!D$16="No",H4-J4,IF('Getting Started'!D$16="Yes",I4-J4,"")))</f>
        <v>0</v>
      </c>
      <c r="L4" s="63"/>
      <c r="M4" s="39">
        <f>IF('Getting Started'!D$15="No","",K4-L4)</f>
        <v>0</v>
      </c>
    </row>
    <row r="5" spans="1:13" x14ac:dyDescent="0.35">
      <c r="A5" s="95" t="s">
        <v>66</v>
      </c>
      <c r="C5" s="64" t="s">
        <v>182</v>
      </c>
      <c r="D5" s="16">
        <v>65000</v>
      </c>
      <c r="E5" s="38">
        <v>65000</v>
      </c>
      <c r="F5" s="17">
        <v>26500</v>
      </c>
      <c r="G5" s="39">
        <f>IF('Getting Started'!D$14="No",D5-F5,IF('Getting Started'!D$14="Yes",E5-F5,""))</f>
        <v>38500</v>
      </c>
      <c r="H5" s="60">
        <f>IF('Getting Started'!D$15="Yes",G5,"")</f>
        <v>38500</v>
      </c>
      <c r="I5" s="61">
        <f>IF('Getting Started'!D$16="Yes",H5,"")</f>
        <v>38500</v>
      </c>
      <c r="J5" s="62">
        <v>38500</v>
      </c>
      <c r="K5" s="39">
        <f>IF('Getting Started'!D$15="No","",IF('Getting Started'!D$16="No",H5-J5,IF('Getting Started'!D$16="Yes",I5-J5,"")))</f>
        <v>0</v>
      </c>
      <c r="L5" s="63"/>
      <c r="M5" s="39">
        <f>IF('Getting Started'!D$15="No","",K5-L5)</f>
        <v>0</v>
      </c>
    </row>
    <row r="6" spans="1:13" x14ac:dyDescent="0.35">
      <c r="A6" s="78" t="s">
        <v>14</v>
      </c>
      <c r="C6" s="64" t="s">
        <v>194</v>
      </c>
      <c r="D6" s="16">
        <v>115000</v>
      </c>
      <c r="E6" s="38">
        <v>115000</v>
      </c>
      <c r="F6" s="17">
        <v>68000</v>
      </c>
      <c r="G6" s="39">
        <f>IF('Getting Started'!D$14="No",D6-F6,IF('Getting Started'!D$14="Yes",E6-F6,""))</f>
        <v>47000</v>
      </c>
      <c r="H6" s="60">
        <f>IF('Getting Started'!D$15="Yes",G6,"")</f>
        <v>47000</v>
      </c>
      <c r="I6" s="61">
        <f>IF('Getting Started'!D$16="Yes",H6,"")</f>
        <v>47000</v>
      </c>
      <c r="J6" s="62">
        <v>47000</v>
      </c>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7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7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7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7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355000</v>
      </c>
      <c r="E24" s="41">
        <f>IF('Getting Started'!D14="No","",SUM(E4:E23))</f>
        <v>355000</v>
      </c>
      <c r="F24" s="41">
        <f t="shared" ref="F24:G24" si="0">SUM(F4:F23)</f>
        <v>182400</v>
      </c>
      <c r="G24" s="39">
        <f t="shared" si="0"/>
        <v>172600</v>
      </c>
      <c r="H24" s="41">
        <f>IF('Getting Started'!D15="No","",SUM(H4:H23))</f>
        <v>172600</v>
      </c>
      <c r="I24" s="41">
        <f>IF('Getting Started'!D16="No","",SUM(I4:I23))</f>
        <v>172600</v>
      </c>
      <c r="J24" s="39">
        <f t="shared" ref="J24:M24" si="1">SUM(J4:J23)</f>
        <v>172600</v>
      </c>
      <c r="K24" s="39">
        <f t="shared" si="1"/>
        <v>0</v>
      </c>
      <c r="L24" s="15">
        <f t="shared" si="1"/>
        <v>0</v>
      </c>
      <c r="M24" s="41">
        <f t="shared" si="1"/>
        <v>0</v>
      </c>
    </row>
    <row r="25" spans="1:14" x14ac:dyDescent="0.35">
      <c r="A25" s="78" t="s">
        <v>51</v>
      </c>
    </row>
    <row r="26" spans="1:14" x14ac:dyDescent="0.35">
      <c r="A26" s="79" t="s">
        <v>53</v>
      </c>
      <c r="C26" s="123"/>
      <c r="D26" s="19"/>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row r="31" spans="1:14" hidden="1" x14ac:dyDescent="0.35">
      <c r="D31" s="35" t="s">
        <v>192</v>
      </c>
    </row>
  </sheetData>
  <sheetProtection algorithmName="SHA-512" hashValue="YeG2USDC+p0Rp8k3ARFFaFyuIgL98wpMs8dZp53RDu/h2n0Wlh6hi9G6adsLIgYUYhus79Nh0LNmkMRZXiYUXQ==" saltValue="RGRa4VjaDhSaVkXLC+gmow==" spinCount="100000" sheet="1" objects="1" scenarios="1"/>
  <mergeCells count="1">
    <mergeCell ref="A28:N28"/>
  </mergeCells>
  <conditionalFormatting sqref="G4:G24 K4:K24 M4:M24">
    <cfRule type="cellIs" dxfId="49" priority="1" operator="lessThan">
      <formula>0</formula>
    </cfRule>
  </conditionalFormatting>
  <dataValidations count="3">
    <dataValidation allowBlank="1" showInputMessage="1" showErrorMessage="1" prompt="To create a revised budget, select &quot;Yes&quot; in cell D14 on the Getting Started tab." sqref="E4" xr:uid="{EDF18468-775E-4D8A-BD2D-325728DD44AC}"/>
    <dataValidation allowBlank="1" showInputMessage="1" showErrorMessage="1" prompt="To create a Tydings Period budget, select “Yes” in cell D15 on the Getting Started tab." sqref="H4" xr:uid="{0C10905A-5059-40F2-84E7-91882603C5DD}"/>
    <dataValidation allowBlank="1" showInputMessage="1" showErrorMessage="1" prompt="To create a revised Tydings Period budget, select “Yes” in cell D16 on the Getting Started tab." sqref="I4" xr:uid="{6DE841F8-13D1-41BA-B7DC-D903B1A92EC7}"/>
  </dataValidations>
  <hyperlinks>
    <hyperlink ref="A2" location="'Table of Contents'!A1" display="Table of Contents" xr:uid="{2E590D5C-DBD8-49E0-B50A-06D0CE03F407}"/>
    <hyperlink ref="A3" location="'Getting Started'!A1" display="Getting Started" xr:uid="{DC510C5B-E995-461E-90E9-8EE56DCCF579}"/>
    <hyperlink ref="A6" location="'a. Part B Administration'!A1" display="a. Part B Administration" xr:uid="{895566BF-B535-4B0E-8544-9B386A4671B8}"/>
    <hyperlink ref="A7" location="'b. Part C Administration'!A1" display="b. Part C Administration" xr:uid="{D125A446-ACC8-44D7-A843-5536D268833B}"/>
    <hyperlink ref="A9" location="'d. PBIS and Mental Health'!A1" display="d. PBIS and Mental Health" xr:uid="{CDFD34DC-DE74-4155-8F61-BC71DB04F6DE}"/>
    <hyperlink ref="A10" location="'e. Personnel Shortages'!A1" display="e. Personnel Shortages" xr:uid="{98680790-1423-49B9-96A0-9FBC17CA6B20}"/>
    <hyperlink ref="A8" location="'c. Support and Direct Services'!A1" display="c. Support and Direct Services" xr:uid="{F1D97479-027B-4384-AE82-9983CAC2DADF}"/>
    <hyperlink ref="A11" location="'f. Capacity Building'!A1" display="f. Capacity Building" xr:uid="{0DCAD68C-81AA-4F3C-91E4-BA62044BC104}"/>
    <hyperlink ref="A12" location="'g. Joint Part C Policy'!A1" display="g. Joint Part C Policy" xr:uid="{F1F41BB2-7A71-45A5-970B-78C9CDE3FB81}"/>
    <hyperlink ref="A14" location="'h. Monitoring and Enforcement'!A1" display="h. Monitoring and Enforcement" xr:uid="{71D5B8BB-ACA7-43B2-B883-C68F72E719B6}"/>
    <hyperlink ref="A15" location="'i. Mediation Process'!A1" display="i. Mediation Process" xr:uid="{907E9F1A-267E-4532-A485-106E433A2430}"/>
    <hyperlink ref="A16" location="'j. Support and Direct Services'!A1" display="j. Support and Direct Services" xr:uid="{4CB6E7A9-0DF3-4A2E-8356-00F048CDABA6}"/>
    <hyperlink ref="A17" location="'k. PBIS and Mental Health'!A1" display="k. PBIS and Mental Health" xr:uid="{36541A37-DA1F-40E2-BC52-D83B7310E2BD}"/>
    <hyperlink ref="A18" location="'l. Personnel Shortages'!A1" display="l. Personnel Shortages" xr:uid="{A961C783-D4EC-453F-8378-6C51BD1BD1DD}"/>
    <hyperlink ref="A19" location="'m. Capacity Building'!A1" display="m. Capacity Building" xr:uid="{58DA1502-F2DA-496E-89D4-1092E76EDD0C}"/>
    <hyperlink ref="A20" location="'n. Paperwork Reduction'!A1" display="n. Paperwork Reduction" xr:uid="{871A18B5-F345-46FD-AD18-FDA6B43FEC69}"/>
    <hyperlink ref="A21" location="'o. Improve Tech Use in Class'!A1" display="o. Improve Tech Use in Class" xr:uid="{E7A78B44-3B1F-454B-A692-3771F1597401}"/>
    <hyperlink ref="A22" location="'p. Technology for Access'!A1" display="p. Technology for Access" xr:uid="{6F3B1B3D-FF15-4C68-828D-6CF1E9319234}"/>
    <hyperlink ref="A23" location="'q. Transition Programs'!A1" display="q. Transition Programs" xr:uid="{16D2BCEE-8075-4FFB-AE8A-AF048A97D67F}"/>
    <hyperlink ref="A24" location="'r. Alternative Programming'!A1" display="r. Alternative Programming" xr:uid="{4AAE0284-EB15-43F5-88CE-58CF14A6C7BF}"/>
    <hyperlink ref="A26" location="'t. TA for Acad Achievement'!A1" display="t. TA for Acad Achievement" xr:uid="{3484DDCB-5A6D-4DFC-89CE-8AA28F0EED67}"/>
    <hyperlink ref="A27" location="'u-v. High Cost Fund'!A1" display="u-v. High Cost Fund" xr:uid="{D614A8C0-9F54-46CB-A76B-B580EBE7FC5C}"/>
    <hyperlink ref="A4" location="'State Set-Aside Overview'!A1" display="State Set-Aside Overview" xr:uid="{A5152A72-A9F1-4E9E-B03B-78E4484331CB}"/>
    <hyperlink ref="A25" location="'s. Accom and Alt Assessments'!A1" display="s. Accom and Alt Assessments" xr:uid="{FE4E01EA-823A-4CDF-BE13-22DA902DD1E8}"/>
  </hyperlinks>
  <pageMargins left="0.7" right="0.7" top="0.75" bottom="0.75" header="0.3" footer="0.3"/>
  <pageSetup orientation="portrait" r:id="rId1"/>
  <ignoredErrors>
    <ignoredError sqref="E7:E23 H5:I23" unlockedFormula="1"/>
    <ignoredError sqref="E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DCAC7D55-3CE9-46BC-8689-9CD705C289A8}">
            <xm:f>'Getting Started'!$D$14="No"</xm:f>
            <x14:dxf>
              <fill>
                <patternFill>
                  <bgColor theme="1"/>
                </patternFill>
              </fill>
            </x14:dxf>
          </x14:cfRule>
          <xm:sqref>E4:E24</xm:sqref>
        </x14:conditionalFormatting>
        <x14:conditionalFormatting xmlns:xm="http://schemas.microsoft.com/office/excel/2006/main">
          <x14:cfRule type="expression" priority="2" id="{789954A6-777F-42AC-9BE9-564A45AE35A2}">
            <xm:f>'Getting Started'!$D$15="No"</xm:f>
            <x14:dxf>
              <fill>
                <patternFill>
                  <bgColor theme="1"/>
                </patternFill>
              </fill>
            </x14:dxf>
          </x14:cfRule>
          <xm:sqref>H4:H24</xm:sqref>
        </x14:conditionalFormatting>
        <x14:conditionalFormatting xmlns:xm="http://schemas.microsoft.com/office/excel/2006/main">
          <x14:cfRule type="expression" priority="3" id="{26B41435-2C6E-468E-A4F8-707F42DEF569}">
            <xm:f>'Getting Started'!$D$16="No"</xm:f>
            <x14:dxf>
              <fill>
                <patternFill>
                  <bgColor theme="1"/>
                </patternFill>
              </fill>
            </x14:dxf>
          </x14:cfRule>
          <xm:sqref>I4:I24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195</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196</v>
      </c>
      <c r="D4" s="16">
        <v>1233873</v>
      </c>
      <c r="E4" s="38">
        <f>IF('Getting Started'!D$14="Yes",D4,"")</f>
        <v>1233873</v>
      </c>
      <c r="F4" s="17">
        <v>748710</v>
      </c>
      <c r="G4" s="39">
        <f>IF('Getting Started'!D$14="No",D4-F4,IF('Getting Started'!D$14="Yes",E4-F4,""))</f>
        <v>485163</v>
      </c>
      <c r="H4" s="60">
        <f>IF('Getting Started'!D$15="Yes",G4,"")</f>
        <v>485163</v>
      </c>
      <c r="I4" s="61">
        <f>IF('Getting Started'!D$16="Yes",H4,"")</f>
        <v>485163</v>
      </c>
      <c r="J4" s="62">
        <v>471186</v>
      </c>
      <c r="K4" s="39">
        <f>IF('Getting Started'!D$15="No","",IF('Getting Started'!D$16="No",H4-J4,IF('Getting Started'!D$16="Yes",I4-J4,"")))</f>
        <v>13977</v>
      </c>
      <c r="L4" s="63">
        <v>13977</v>
      </c>
      <c r="M4" s="39">
        <f>IF('Getting Started'!D$15="No","",K4-L4)</f>
        <v>0</v>
      </c>
    </row>
    <row r="5" spans="1:13" x14ac:dyDescent="0.35">
      <c r="A5" s="95" t="s">
        <v>66</v>
      </c>
      <c r="C5" s="64" t="s">
        <v>180</v>
      </c>
      <c r="D5" s="16">
        <v>1351150</v>
      </c>
      <c r="E5" s="38">
        <f>IF('Getting Started'!D$14="Yes",D5,"")</f>
        <v>1351150</v>
      </c>
      <c r="F5" s="17">
        <v>878248</v>
      </c>
      <c r="G5" s="39">
        <f>IF('Getting Started'!D$14="No",D5-F5,IF('Getting Started'!D$14="Yes",E5-F5,""))</f>
        <v>472902</v>
      </c>
      <c r="H5" s="60">
        <f>IF('Getting Started'!D$15="Yes",G5,"")</f>
        <v>472902</v>
      </c>
      <c r="I5" s="61">
        <f>IF('Getting Started'!D$16="Yes",H5,"")</f>
        <v>472902</v>
      </c>
      <c r="J5" s="62">
        <v>472902</v>
      </c>
      <c r="K5" s="39">
        <f>IF('Getting Started'!D$15="No","",IF('Getting Started'!D$16="No",H5-J5,IF('Getting Started'!D$16="Yes",I5-J5,"")))</f>
        <v>0</v>
      </c>
      <c r="L5" s="63"/>
      <c r="M5" s="39">
        <f>IF('Getting Started'!D$15="No","",K5-L5)</f>
        <v>0</v>
      </c>
    </row>
    <row r="6" spans="1:13" x14ac:dyDescent="0.35">
      <c r="A6" s="78" t="s">
        <v>14</v>
      </c>
      <c r="C6" s="64" t="s">
        <v>197</v>
      </c>
      <c r="D6" s="16">
        <v>174000</v>
      </c>
      <c r="E6" s="38">
        <f>IF('Getting Started'!D$14="Yes",D6,"")</f>
        <v>174000</v>
      </c>
      <c r="F6" s="17">
        <v>60900</v>
      </c>
      <c r="G6" s="39">
        <f>IF('Getting Started'!D$14="No",D6-F6,IF('Getting Started'!D$14="Yes",E6-F6,""))</f>
        <v>113100</v>
      </c>
      <c r="H6" s="60">
        <f>IF('Getting Started'!D$15="Yes",G6,"")</f>
        <v>113100</v>
      </c>
      <c r="I6" s="61">
        <f>IF('Getting Started'!D$16="Yes",H6,"")</f>
        <v>113100</v>
      </c>
      <c r="J6" s="62">
        <v>101990</v>
      </c>
      <c r="K6" s="39">
        <f>IF('Getting Started'!D$15="No","",IF('Getting Started'!D$16="No",H6-J6,IF('Getting Started'!D$16="Yes",I6-J6,"")))</f>
        <v>11110</v>
      </c>
      <c r="L6" s="63"/>
      <c r="M6" s="39">
        <f>IF('Getting Started'!D$15="No","",K6-L6)</f>
        <v>11110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2759023</v>
      </c>
      <c r="E24" s="41">
        <f>IF('Getting Started'!D14="No","",SUM(E4:E23))</f>
        <v>2759023</v>
      </c>
      <c r="F24" s="41">
        <f t="shared" ref="F24:G24" si="0">SUM(F4:F23)</f>
        <v>1687858</v>
      </c>
      <c r="G24" s="39">
        <f t="shared" si="0"/>
        <v>1071165</v>
      </c>
      <c r="H24" s="41">
        <f>IF('Getting Started'!D15="No","",SUM(H4:H23))</f>
        <v>1071165</v>
      </c>
      <c r="I24" s="41">
        <f>IF('Getting Started'!D16="No","",SUM(I4:I23))</f>
        <v>1071165</v>
      </c>
      <c r="J24" s="39">
        <f t="shared" ref="J24:M24" si="1">SUM(J4:J23)</f>
        <v>1046078</v>
      </c>
      <c r="K24" s="39">
        <f t="shared" si="1"/>
        <v>25087</v>
      </c>
      <c r="L24" s="15">
        <f t="shared" si="1"/>
        <v>13977</v>
      </c>
      <c r="M24" s="41">
        <f t="shared" si="1"/>
        <v>11110</v>
      </c>
    </row>
    <row r="25" spans="1:14" x14ac:dyDescent="0.35">
      <c r="A25" s="78" t="s">
        <v>51</v>
      </c>
    </row>
    <row r="26" spans="1:14" x14ac:dyDescent="0.35">
      <c r="A26" s="79" t="s">
        <v>53</v>
      </c>
      <c r="C26" s="123"/>
    </row>
    <row r="27" spans="1:14" x14ac:dyDescent="0.35">
      <c r="A27" s="78" t="s">
        <v>55</v>
      </c>
      <c r="C27" s="123" t="s">
        <v>222</v>
      </c>
    </row>
    <row r="28" spans="1:14" x14ac:dyDescent="0.35">
      <c r="A28" s="142" t="s">
        <v>5</v>
      </c>
      <c r="B28" s="142"/>
      <c r="C28" s="142"/>
      <c r="D28" s="142"/>
      <c r="E28" s="142"/>
      <c r="F28" s="142"/>
      <c r="G28" s="142"/>
      <c r="H28" s="142"/>
      <c r="I28" s="142"/>
      <c r="J28" s="142"/>
      <c r="K28" s="142"/>
      <c r="L28" s="142"/>
      <c r="M28" s="142"/>
      <c r="N28" s="142"/>
    </row>
  </sheetData>
  <sheetProtection algorithmName="SHA-512" hashValue="x8PI/N39/ksxBSzPPIhbVWps7Eb8WEzsh2l1zSEIDPb099012og96EXuCciJfFYXX5MCNi3f3RPPFCJkgSepZA==" saltValue="Yqa+KTyNLTo5lJsp2bI/gw==" spinCount="100000" sheet="1" objects="1" scenarios="1"/>
  <mergeCells count="1">
    <mergeCell ref="A28:N28"/>
  </mergeCells>
  <conditionalFormatting sqref="G4:G24 K4:K24 M4:M24">
    <cfRule type="cellIs" dxfId="45" priority="1" operator="lessThan">
      <formula>0</formula>
    </cfRule>
  </conditionalFormatting>
  <dataValidations count="3">
    <dataValidation allowBlank="1" showInputMessage="1" showErrorMessage="1" prompt="To create a revised budget, select &quot;Yes&quot; in cell D14 on the Getting Started tab." sqref="E4" xr:uid="{05E7E669-CAB4-458F-9C63-DC65A968F453}"/>
    <dataValidation allowBlank="1" showInputMessage="1" showErrorMessage="1" prompt="To create a Tydings Period budget, select “Yes” in cell D15 on the Getting Started tab." sqref="H4" xr:uid="{B9BEC706-FB2A-4185-8181-66419ED7093D}"/>
    <dataValidation allowBlank="1" showInputMessage="1" showErrorMessage="1" prompt="To create a revised Tydings Period budget, select “Yes” in cell D16 on the Getting Started tab." sqref="I4" xr:uid="{2E1B71CD-E4AA-4DB1-ABAF-0D8B72AECCFB}"/>
  </dataValidations>
  <hyperlinks>
    <hyperlink ref="A2" location="'Table of Contents'!A1" display="Table of Contents" xr:uid="{75C4C324-2C04-45DD-BE28-0ABCB618AF72}"/>
    <hyperlink ref="A3" location="'Getting Started'!A1" display="Getting Started" xr:uid="{1E5FC627-71DD-4F42-97AE-F972604DEF3E}"/>
    <hyperlink ref="A6" location="'a. Part B Administration'!A1" display="a. Part B Administration" xr:uid="{543630F2-07C2-4911-8D7D-EEDCC7D1FF54}"/>
    <hyperlink ref="A7" location="'b. Part C Administration'!A1" display="b. Part C Administration" xr:uid="{1D3BD95D-B9CB-4A48-95FE-A6B9F413C1E3}"/>
    <hyperlink ref="A9" location="'d. PBIS and Mental Health'!A1" display="d. PBIS and Mental Health" xr:uid="{B44C8604-C7A7-4D7B-ACAB-0F4021BFAAC4}"/>
    <hyperlink ref="A10" location="'e. Personnel Shortages'!A1" display="e. Personnel Shortages" xr:uid="{37B71086-979A-4B2F-AEC4-E85C5F9D1E40}"/>
    <hyperlink ref="A8" location="'c. Support and Direct Services'!A1" display="c. Support and Direct Services" xr:uid="{A301FEDD-91F1-43AD-8030-4035665EFD91}"/>
    <hyperlink ref="A11" location="'f. Capacity Building'!A1" display="f. Capacity Building" xr:uid="{E6373E9D-6D26-4369-B665-456F04D6EED9}"/>
    <hyperlink ref="A12" location="'g. Joint Part C Policy'!A1" display="g. Joint Part C Policy" xr:uid="{20D96D77-45EE-41B2-9A20-E1E6B364C126}"/>
    <hyperlink ref="A14" location="'h. Monitoring and Enforcement'!A1" display="h. Monitoring and Enforcement" xr:uid="{3024487E-EBCD-4138-8FAD-A21F41A5523A}"/>
    <hyperlink ref="A15" location="'i. Mediation Process'!A1" display="i. Mediation Process" xr:uid="{411390BF-0702-4619-B527-841ACFD4B304}"/>
    <hyperlink ref="A16" location="'j. Support and Direct Services'!A1" display="j. Support and Direct Services" xr:uid="{980401D8-43F2-4AF3-A266-418932707172}"/>
    <hyperlink ref="A17" location="'k. PBIS and Mental Health'!A1" display="k. PBIS and Mental Health" xr:uid="{2BD89859-65CB-4184-9051-52110EB6E6A7}"/>
    <hyperlink ref="A18" location="'l. Personnel Shortages'!A1" display="l. Personnel Shortages" xr:uid="{466D4BCD-5B8E-4D14-9079-DF5E2E173F64}"/>
    <hyperlink ref="A19" location="'m. Capacity Building'!A1" display="m. Capacity Building" xr:uid="{E2B0FEC7-6A7D-4EC5-83B4-C937D4AF21DF}"/>
    <hyperlink ref="A20" location="'n. Paperwork Reduction'!A1" display="n. Paperwork Reduction" xr:uid="{4536087D-1C8E-4574-A1F3-C34D68636B9B}"/>
    <hyperlink ref="A21" location="'o. Improve Tech Use in Class'!A1" display="o. Improve Tech Use in Class" xr:uid="{A5962310-FD7C-48E2-914C-937B37867518}"/>
    <hyperlink ref="A22" location="'p. Technology for Access'!A1" display="p. Technology for Access" xr:uid="{F108F7BF-F453-4E7C-A544-25597FF163A5}"/>
    <hyperlink ref="A23" location="'q. Transition Programs'!A1" display="q. Transition Programs" xr:uid="{772675FC-B7A4-492B-8F65-9C507CCE4E1C}"/>
    <hyperlink ref="A24" location="'r. Alternative Programming'!A1" display="r. Alternative Programming" xr:uid="{E423AA77-F5BD-404D-AEF1-31613102B1F1}"/>
    <hyperlink ref="A26" location="'t. TA for Acad Achievement'!A1" display="t. TA for Acad Achievement" xr:uid="{24BDB378-0EBB-4AF1-8A72-37075E90FB5C}"/>
    <hyperlink ref="A27" location="'u-v. High Cost Fund'!A1" display="u-v. High Cost Fund" xr:uid="{56A47525-0CF8-4BD6-8505-1D984A940902}"/>
    <hyperlink ref="A4" location="'State Set-Aside Overview'!A1" display="State Set-Aside Overview" xr:uid="{3992E24C-C8C1-49E5-8CF6-A1A698071566}"/>
    <hyperlink ref="A25" location="'s. Accom and Alt Assessments'!A1" display="s. Accom and Alt Assessments" xr:uid="{DB2AE5CF-8ACC-4B66-9190-69F580F22193}"/>
  </hyperlinks>
  <pageMargins left="0.7" right="0.7" top="0.75" bottom="0.75" header="0.3" footer="0.3"/>
  <pageSetup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5296BBE-0287-407A-BA64-3A3B86EB30CF}">
            <xm:f>'Getting Started'!$D$14="No"</xm:f>
            <x14:dxf>
              <fill>
                <patternFill>
                  <bgColor theme="1"/>
                </patternFill>
              </fill>
            </x14:dxf>
          </x14:cfRule>
          <xm:sqref>E4:E24</xm:sqref>
        </x14:conditionalFormatting>
        <x14:conditionalFormatting xmlns:xm="http://schemas.microsoft.com/office/excel/2006/main">
          <x14:cfRule type="expression" priority="2" id="{3BDDC2B3-BADD-4CA6-8EF6-73CA539F5750}">
            <xm:f>'Getting Started'!$D$15="No"</xm:f>
            <x14:dxf>
              <fill>
                <patternFill>
                  <bgColor theme="1"/>
                </patternFill>
              </fill>
            </x14:dxf>
          </x14:cfRule>
          <xm:sqref>H4:H24</xm:sqref>
        </x14:conditionalFormatting>
        <x14:conditionalFormatting xmlns:xm="http://schemas.microsoft.com/office/excel/2006/main">
          <x14:cfRule type="expression" priority="3" id="{6908F2F8-3FE3-4398-B102-20D8214DB0FF}">
            <xm:f>'Getting Started'!$D$16="No"</xm:f>
            <x14:dxf>
              <fill>
                <patternFill>
                  <bgColor theme="1"/>
                </patternFill>
              </fill>
            </x14:dxf>
          </x14:cfRule>
          <xm:sqref>I4:I24</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2373342</v>
      </c>
      <c r="E4" s="38">
        <f>IF('Getting Started'!D$14="Yes",D4,"")</f>
        <v>2373342</v>
      </c>
      <c r="F4" s="17">
        <v>1223390</v>
      </c>
      <c r="G4" s="39">
        <f>IF('Getting Started'!D$14="No",D4-F4,IF('Getting Started'!D$14="Yes",E4-F4,""))</f>
        <v>1149952</v>
      </c>
      <c r="H4" s="60">
        <f>IF('Getting Started'!D$15="Yes",G4,"")</f>
        <v>1149952</v>
      </c>
      <c r="I4" s="61">
        <f>IF('Getting Started'!D$16="Yes",H4,"")</f>
        <v>1149952</v>
      </c>
      <c r="J4" s="62">
        <v>1016843</v>
      </c>
      <c r="K4" s="39">
        <f>IF('Getting Started'!D$15="No","",IF('Getting Started'!D$16="No",H4-J4,IF('Getting Started'!D$16="Yes",I4-J4,"")))</f>
        <v>133109</v>
      </c>
      <c r="L4" s="63">
        <v>133109</v>
      </c>
      <c r="M4" s="39">
        <f>IF('Getting Started'!D$15="No","",K4-L4)</f>
        <v>0</v>
      </c>
    </row>
    <row r="5" spans="1:13" x14ac:dyDescent="0.35">
      <c r="A5" s="95" t="s">
        <v>66</v>
      </c>
      <c r="C5" s="64" t="s">
        <v>182</v>
      </c>
      <c r="D5" s="16">
        <v>443498</v>
      </c>
      <c r="E5" s="38">
        <f>IF('Getting Started'!D$14="Yes",D5,"")</f>
        <v>443498</v>
      </c>
      <c r="F5" s="17">
        <v>212457</v>
      </c>
      <c r="G5" s="39">
        <f>IF('Getting Started'!D$14="No",D5-F5,IF('Getting Started'!D$14="Yes",E5-F5,""))</f>
        <v>231041</v>
      </c>
      <c r="H5" s="60">
        <f>IF('Getting Started'!D$15="Yes",G5,"")</f>
        <v>231041</v>
      </c>
      <c r="I5" s="61">
        <f>IF('Getting Started'!D$16="Yes",H5,"")</f>
        <v>231041</v>
      </c>
      <c r="J5" s="62">
        <v>231041</v>
      </c>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2816840</v>
      </c>
      <c r="E24" s="41">
        <f>IF('Getting Started'!D14="No","",SUM(E4:E23))</f>
        <v>2816840</v>
      </c>
      <c r="F24" s="41">
        <f t="shared" ref="F24:G24" si="0">SUM(F4:F23)</f>
        <v>1435847</v>
      </c>
      <c r="G24" s="39">
        <f t="shared" si="0"/>
        <v>1380993</v>
      </c>
      <c r="H24" s="41">
        <f>IF('Getting Started'!D15="No","",SUM(H4:H23))</f>
        <v>1380993</v>
      </c>
      <c r="I24" s="41">
        <f>IF('Getting Started'!D16="No","",SUM(I4:I23))</f>
        <v>1380993</v>
      </c>
      <c r="J24" s="39">
        <f t="shared" ref="J24:M24" si="1">SUM(J4:J23)</f>
        <v>1247884</v>
      </c>
      <c r="K24" s="39">
        <f t="shared" si="1"/>
        <v>133109</v>
      </c>
      <c r="L24" s="15">
        <f t="shared" si="1"/>
        <v>133109</v>
      </c>
      <c r="M24" s="41">
        <f t="shared" si="1"/>
        <v>0</v>
      </c>
    </row>
    <row r="25" spans="1:14" x14ac:dyDescent="0.35">
      <c r="A25" s="78" t="s">
        <v>51</v>
      </c>
    </row>
    <row r="26" spans="1:14" x14ac:dyDescent="0.35">
      <c r="A26" s="79" t="s">
        <v>53</v>
      </c>
      <c r="C26" s="123"/>
    </row>
    <row r="27" spans="1:14" x14ac:dyDescent="0.35">
      <c r="A27" s="78" t="s">
        <v>55</v>
      </c>
      <c r="C27" s="123" t="s">
        <v>222</v>
      </c>
    </row>
    <row r="28" spans="1:14" x14ac:dyDescent="0.35">
      <c r="A28" s="142" t="s">
        <v>5</v>
      </c>
      <c r="B28" s="142"/>
      <c r="C28" s="142"/>
      <c r="D28" s="142"/>
      <c r="E28" s="142"/>
      <c r="F28" s="142"/>
      <c r="G28" s="142"/>
      <c r="H28" s="142"/>
      <c r="I28" s="142"/>
      <c r="J28" s="142"/>
      <c r="K28" s="142"/>
      <c r="L28" s="142"/>
      <c r="M28" s="142"/>
      <c r="N28" s="142"/>
    </row>
  </sheetData>
  <sheetProtection algorithmName="SHA-512" hashValue="HxQxH3Q+32NErxfojNRH8edIeEjVs43PSUKKBbf+yR0XnZI94wSlX44ea3yc1DqRmtAy+tSdfjoO1BuBhfTAuA==" saltValue="XHLLN6WZBuJox49A+9443g==" spinCount="100000" sheet="1" objects="1" scenarios="1"/>
  <mergeCells count="1">
    <mergeCell ref="A28:N28"/>
  </mergeCells>
  <conditionalFormatting sqref="G4:G24 K4:K24 M4:M24">
    <cfRule type="cellIs" dxfId="41" priority="1" operator="lessThan">
      <formula>0</formula>
    </cfRule>
  </conditionalFormatting>
  <dataValidations count="3">
    <dataValidation allowBlank="1" showInputMessage="1" showErrorMessage="1" prompt="To create a revised budget, select &quot;Yes&quot; in cell D14 on the Getting Started tab." sqref="E4" xr:uid="{10D85960-4790-456C-99BA-2DD32B58C4B7}"/>
    <dataValidation allowBlank="1" showInputMessage="1" showErrorMessage="1" prompt="To create a Tydings Period budget, select “Yes” in cell D15 on the Getting Started tab." sqref="H4" xr:uid="{DB3CFCA5-B2D8-4005-B31A-D05E2FF4A79A}"/>
    <dataValidation allowBlank="1" showInputMessage="1" showErrorMessage="1" prompt="To create a revised Tydings Period budget, select “Yes” in cell D16 on the Getting Started tab." sqref="I4" xr:uid="{69EBA58D-F5E5-4F91-B036-6AC6E2751939}"/>
  </dataValidations>
  <hyperlinks>
    <hyperlink ref="A2" location="'Table of Contents'!A1" display="Table of Contents" xr:uid="{8C2E64F2-0A8A-4370-9889-D5CE7386F7D8}"/>
    <hyperlink ref="A3" location="'Getting Started'!A1" display="Getting Started" xr:uid="{1DF9C25A-796A-4B48-8932-79C50307A2D4}"/>
    <hyperlink ref="A6" location="'a. Part B Administration'!A1" display="a. Part B Administration" xr:uid="{DF931B6B-6574-4B30-AC43-193C1D2A47D6}"/>
    <hyperlink ref="A7" location="'b. Part C Administration'!A1" display="b. Part C Administration" xr:uid="{FC64B4FC-9E3F-4786-AF78-0F08B168166F}"/>
    <hyperlink ref="A9" location="'d. PBIS and Mental Health'!A1" display="d. PBIS and Mental Health" xr:uid="{7FB81659-B481-4C96-87A3-7D9FBB4F5900}"/>
    <hyperlink ref="A10" location="'e. Personnel Shortages'!A1" display="e. Personnel Shortages" xr:uid="{BB7C6802-2A55-468B-8FF6-BEF329853BE7}"/>
    <hyperlink ref="A8" location="'c. Support and Direct Services'!A1" display="c. Support and Direct Services" xr:uid="{58062FB8-DF3F-4B30-8DA6-85C1A93DD33F}"/>
    <hyperlink ref="A11" location="'f. Capacity Building'!A1" display="f. Capacity Building" xr:uid="{B4D9EBA3-52C3-4D61-BE12-51EC746964CF}"/>
    <hyperlink ref="A12" location="'g. Joint Part C Policy'!A1" display="g. Joint Part C Policy" xr:uid="{3B5656B1-1CD4-4B0F-A2F3-707D683630FE}"/>
    <hyperlink ref="A14" location="'h. Monitoring and Enforcement'!A1" display="h. Monitoring and Enforcement" xr:uid="{575BF563-F4BC-48AF-B7B1-4F7DEA80BCC3}"/>
    <hyperlink ref="A15" location="'i. Mediation Process'!A1" display="i. Mediation Process" xr:uid="{59A64E04-5B26-4BA5-AF8F-1C3B49C02836}"/>
    <hyperlink ref="A16" location="'j. Support and Direct Services'!A1" display="j. Support and Direct Services" xr:uid="{6F4F496E-8140-48DB-AD9C-D997AE7F9F9D}"/>
    <hyperlink ref="A17" location="'k. PBIS and Mental Health'!A1" display="k. PBIS and Mental Health" xr:uid="{C5836125-0155-48F1-AFB3-92DE3D7CFE00}"/>
    <hyperlink ref="A18" location="'l. Personnel Shortages'!A1" display="l. Personnel Shortages" xr:uid="{6A8F0CB6-740D-4E4E-B45C-47D2F97AC805}"/>
    <hyperlink ref="A19" location="'m. Capacity Building'!A1" display="m. Capacity Building" xr:uid="{01D28420-2378-44C4-BC14-39F3F68C92D0}"/>
    <hyperlink ref="A20" location="'n. Paperwork Reduction'!A1" display="n. Paperwork Reduction" xr:uid="{3CADFB1D-CF7F-4F7E-91A7-FE6C0B50E240}"/>
    <hyperlink ref="A21" location="'o. Improve Tech Use in Class'!A1" display="o. Improve Tech Use in Class" xr:uid="{114A0CAD-162C-4E02-94C8-12DE62B13B25}"/>
    <hyperlink ref="A22" location="'p. Technology for Access'!A1" display="p. Technology for Access" xr:uid="{52F4DCF6-8923-4058-8735-DC547B242BF8}"/>
    <hyperlink ref="A23" location="'q. Transition Programs'!A1" display="q. Transition Programs" xr:uid="{35D592D3-6D10-470A-982A-C3BB0FA9950E}"/>
    <hyperlink ref="A24" location="'r. Alternative Programming'!A1" display="r. Alternative Programming" xr:uid="{C8070EAA-3F4A-409A-B0A0-4B627E053A8B}"/>
    <hyperlink ref="A26" location="'t. TA for Acad Achievement'!A1" display="t. TA for Acad Achievement" xr:uid="{C91A624C-FABB-4A23-A4E1-F999B4C9734F}"/>
    <hyperlink ref="A27" location="'u-v. High Cost Fund'!A1" display="u-v. High Cost Fund" xr:uid="{870234E8-3A84-4073-BFCF-4D125DC906CA}"/>
    <hyperlink ref="A4" location="'State Set-Aside Overview'!A1" display="State Set-Aside Overview" xr:uid="{409D2EFE-01BA-458A-AE14-72C8CAC85CDC}"/>
    <hyperlink ref="A25" location="'s. Accom and Alt Assessments'!A1" display="s. Accom and Alt Assessments" xr:uid="{47B51499-37CB-4B88-BC53-1EF1265169B2}"/>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FC2DBE6-364F-4890-9046-705AC3F7FA2B}">
            <xm:f>'Getting Started'!$D$14="No"</xm:f>
            <x14:dxf>
              <fill>
                <patternFill>
                  <bgColor theme="1"/>
                </patternFill>
              </fill>
            </x14:dxf>
          </x14:cfRule>
          <xm:sqref>E4:E24</xm:sqref>
        </x14:conditionalFormatting>
        <x14:conditionalFormatting xmlns:xm="http://schemas.microsoft.com/office/excel/2006/main">
          <x14:cfRule type="expression" priority="2" id="{1BA106F3-6D31-44D7-A9E9-6B76B6BF6D22}">
            <xm:f>'Getting Started'!$D$15="No"</xm:f>
            <x14:dxf>
              <fill>
                <patternFill>
                  <bgColor theme="1"/>
                </patternFill>
              </fill>
            </x14:dxf>
          </x14:cfRule>
          <xm:sqref>H4:H24</xm:sqref>
        </x14:conditionalFormatting>
        <x14:conditionalFormatting xmlns:xm="http://schemas.microsoft.com/office/excel/2006/main">
          <x14:cfRule type="expression" priority="3" id="{6200DF11-A455-461A-946F-299B3409ACB8}">
            <xm:f>'Getting Started'!$D$16="No"</xm:f>
            <x14:dxf>
              <fill>
                <patternFill>
                  <bgColor theme="1"/>
                </patternFill>
              </fill>
            </x14:dxf>
          </x14:cfRule>
          <xm:sqref>I4:I24</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199</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194</v>
      </c>
      <c r="D4" s="16">
        <v>190648</v>
      </c>
      <c r="E4" s="38">
        <f>IF('Getting Started'!D$14="Yes",D4,"")</f>
        <v>190648</v>
      </c>
      <c r="F4" s="17">
        <v>87600</v>
      </c>
      <c r="G4" s="39">
        <f>IF('Getting Started'!D$14="No",D4-F4,IF('Getting Started'!D$14="Yes",E4-F4,""))</f>
        <v>103048</v>
      </c>
      <c r="H4" s="60">
        <f>IF('Getting Started'!D$15="Yes",G4,"")</f>
        <v>103048</v>
      </c>
      <c r="I4" s="61">
        <f>IF('Getting Started'!D$16="Yes",H4,"")</f>
        <v>103048</v>
      </c>
      <c r="J4" s="62">
        <v>103048</v>
      </c>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190648</v>
      </c>
      <c r="E24" s="41">
        <f>IF('Getting Started'!D14="No","",SUM(E4:E23))</f>
        <v>190648</v>
      </c>
      <c r="F24" s="41">
        <f t="shared" ref="F24:G24" si="0">SUM(F4:F23)</f>
        <v>87600</v>
      </c>
      <c r="G24" s="39">
        <f t="shared" si="0"/>
        <v>103048</v>
      </c>
      <c r="H24" s="41">
        <f>IF('Getting Started'!D15="No","",SUM(H4:H23))</f>
        <v>103048</v>
      </c>
      <c r="I24" s="41">
        <f>IF('Getting Started'!D16="No","",SUM(I4:I23))</f>
        <v>103048</v>
      </c>
      <c r="J24" s="39">
        <f t="shared" ref="J24:M24" si="1">SUM(J4:J23)</f>
        <v>103048</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l2wUhJGh19gbEeVO4qHeNvNwxC6xyiZqI/jGIm4VqSOsyGvLpAvvoiq9uxumo5rgNJPpEulYshxNlsq8oPILwg==" saltValue="qtKXHojlVjCIC/SW4utv1w==" spinCount="100000" sheet="1" objects="1" scenarios="1"/>
  <mergeCells count="1">
    <mergeCell ref="A28:N28"/>
  </mergeCells>
  <conditionalFormatting sqref="G4:G24 K4:K24 M4:M24">
    <cfRule type="cellIs" dxfId="37" priority="1" operator="lessThan">
      <formula>0</formula>
    </cfRule>
  </conditionalFormatting>
  <dataValidations count="3">
    <dataValidation allowBlank="1" showInputMessage="1" showErrorMessage="1" prompt="To create a revised budget, select &quot;Yes&quot; in cell D14 on the Getting Started tab." sqref="E4" xr:uid="{31E105BB-8555-4602-A9DA-1E182497F16B}"/>
    <dataValidation allowBlank="1" showInputMessage="1" showErrorMessage="1" prompt="To create a Tydings Period budget, select “Yes” in cell D15 on the Getting Started tab." sqref="H4" xr:uid="{D1A47428-3724-4CD4-91F2-AFCA264400B4}"/>
    <dataValidation allowBlank="1" showInputMessage="1" showErrorMessage="1" prompt="To create a revised Tydings Period budget, select “Yes” in cell D16 on the Getting Started tab." sqref="I4" xr:uid="{7954E549-17A8-4851-8370-3BCFF35F0B19}"/>
  </dataValidations>
  <hyperlinks>
    <hyperlink ref="A2" location="'Table of Contents'!A1" display="Table of Contents" xr:uid="{D7856AF5-456A-44E0-9A55-539305857E1B}"/>
    <hyperlink ref="A3" location="'Getting Started'!A1" display="Getting Started" xr:uid="{33E87470-CFB7-47AE-A67C-110FACE6ECAD}"/>
    <hyperlink ref="A6" location="'a. Part B Administration'!A1" display="a. Part B Administration" xr:uid="{434CA3E5-6988-4ECC-9B58-141C0C8FD2C1}"/>
    <hyperlink ref="A7" location="'b. Part C Administration'!A1" display="b. Part C Administration" xr:uid="{F949A92C-7F7C-42BB-9A23-70E41CA19A37}"/>
    <hyperlink ref="A9" location="'d. PBIS and Mental Health'!A1" display="d. PBIS and Mental Health" xr:uid="{725B490D-05E1-4AEB-9004-96CD52C269E7}"/>
    <hyperlink ref="A10" location="'e. Personnel Shortages'!A1" display="e. Personnel Shortages" xr:uid="{114FFD16-6C9A-412A-9165-C3F6E16DAF06}"/>
    <hyperlink ref="A8" location="'c. Support and Direct Services'!A1" display="c. Support and Direct Services" xr:uid="{C49ADF8F-CADD-4236-A7C6-B268B369BBAA}"/>
    <hyperlink ref="A11" location="'f. Capacity Building'!A1" display="f. Capacity Building" xr:uid="{183B50BC-99CB-4BB8-9DB4-65E68C545BE1}"/>
    <hyperlink ref="A12" location="'g. Joint Part C Policy'!A1" display="g. Joint Part C Policy" xr:uid="{1F90FC26-EA57-4CE0-B159-BE8210C40F7F}"/>
    <hyperlink ref="A14" location="'h. Monitoring and Enforcement'!A1" display="h. Monitoring and Enforcement" xr:uid="{7F48597A-B0A4-4F0B-8BBE-6B55A1D37BB8}"/>
    <hyperlink ref="A15" location="'i. Mediation Process'!A1" display="i. Mediation Process" xr:uid="{4E254D7D-D700-46BA-B1CF-46D62B5C8378}"/>
    <hyperlink ref="A16" location="'j. Support and Direct Services'!A1" display="j. Support and Direct Services" xr:uid="{D70FBF68-735B-4532-9F56-423A579C3690}"/>
    <hyperlink ref="A17" location="'k. PBIS and Mental Health'!A1" display="k. PBIS and Mental Health" xr:uid="{F01C7A9F-8A7A-4BC1-A3F3-3C017F43453B}"/>
    <hyperlink ref="A18" location="'l. Personnel Shortages'!A1" display="l. Personnel Shortages" xr:uid="{0093FA0C-BFD5-40AE-AA44-B7ADC2EB73A7}"/>
    <hyperlink ref="A19" location="'m. Capacity Building'!A1" display="m. Capacity Building" xr:uid="{A36522CC-FBD2-4BA9-9E46-D2472BBED20B}"/>
    <hyperlink ref="A20" location="'n. Paperwork Reduction'!A1" display="n. Paperwork Reduction" xr:uid="{959D5FB7-4F44-48BB-8B6F-AF6A3F5E3779}"/>
    <hyperlink ref="A21" location="'o. Improve Tech Use in Class'!A1" display="o. Improve Tech Use in Class" xr:uid="{80B140A1-9120-4366-B400-71C7C759BCEA}"/>
    <hyperlink ref="A22" location="'p. Technology for Access'!A1" display="p. Technology for Access" xr:uid="{3EC02B28-A788-41C8-8A3D-02E2656CE3BD}"/>
    <hyperlink ref="A23" location="'q. Transition Programs'!A1" display="q. Transition Programs" xr:uid="{723524E9-FD59-44D8-A197-17308F1D167F}"/>
    <hyperlink ref="A24" location="'r. Alternative Programming'!A1" display="r. Alternative Programming" xr:uid="{C903D573-9993-4F9E-9967-7093D441B603}"/>
    <hyperlink ref="A26" location="'t. TA for Acad Achievement'!A1" display="t. TA for Acad Achievement" xr:uid="{8753C048-2A12-4A84-8A5D-95AE2F79B369}"/>
    <hyperlink ref="A27" location="'u-v. High Cost Fund'!A1" display="u-v. High Cost Fund" xr:uid="{180E78DD-7928-4EB2-89E4-46AD90C73613}"/>
    <hyperlink ref="A4" location="'State Set-Aside Overview'!A1" display="State Set-Aside Overview" xr:uid="{70EEBA6F-7523-41CE-9CFD-D38885B7C077}"/>
    <hyperlink ref="A25" location="'s. Accom and Alt Assessments'!A1" display="s. Accom and Alt Assessments" xr:uid="{9A2DC01E-BCA8-4154-BE3D-F7E6E98988E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CB4C9EF-43D5-4488-8471-17C9C687C712}">
            <xm:f>'Getting Started'!$D$14="No"</xm:f>
            <x14:dxf>
              <fill>
                <patternFill>
                  <bgColor theme="1"/>
                </patternFill>
              </fill>
            </x14:dxf>
          </x14:cfRule>
          <xm:sqref>E4:E24</xm:sqref>
        </x14:conditionalFormatting>
        <x14:conditionalFormatting xmlns:xm="http://schemas.microsoft.com/office/excel/2006/main">
          <x14:cfRule type="expression" priority="2" id="{5AE2558D-58D7-4BBB-A2A7-AA49235A4F29}">
            <xm:f>'Getting Started'!$D$15="No"</xm:f>
            <x14:dxf>
              <fill>
                <patternFill>
                  <bgColor theme="1"/>
                </patternFill>
              </fill>
            </x14:dxf>
          </x14:cfRule>
          <xm:sqref>H4:H24</xm:sqref>
        </x14:conditionalFormatting>
        <x14:conditionalFormatting xmlns:xm="http://schemas.microsoft.com/office/excel/2006/main">
          <x14:cfRule type="expression" priority="3" id="{1E96B371-CA05-4BC9-92E7-4D8A1D0CA1FD}">
            <xm:f>'Getting Started'!$D$16="No"</xm:f>
            <x14:dxf>
              <fill>
                <patternFill>
                  <bgColor theme="1"/>
                </patternFill>
              </fill>
            </x14:dxf>
          </x14:cfRule>
          <xm:sqref>I4:I24</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200</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201</v>
      </c>
      <c r="D4" s="16">
        <v>32000</v>
      </c>
      <c r="E4" s="38">
        <f>IF('Getting Started'!D$14="Yes",D4,"")</f>
        <v>32000</v>
      </c>
      <c r="F4" s="17">
        <v>0</v>
      </c>
      <c r="G4" s="39">
        <f>IF('Getting Started'!D$14="No",D4-F4,IF('Getting Started'!D$14="Yes",E4-F4,""))</f>
        <v>32000</v>
      </c>
      <c r="H4" s="60">
        <f>IF('Getting Started'!D$15="Yes",G4,"")</f>
        <v>32000</v>
      </c>
      <c r="I4" s="61">
        <f>IF('Getting Started'!D$16="Yes",H4,"")</f>
        <v>32000</v>
      </c>
      <c r="J4" s="62">
        <v>32000</v>
      </c>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32000</v>
      </c>
      <c r="E24" s="41">
        <f>IF('Getting Started'!D14="No","",SUM(E4:E23))</f>
        <v>32000</v>
      </c>
      <c r="F24" s="41">
        <f t="shared" ref="F24:G24" si="0">SUM(F4:F23)</f>
        <v>0</v>
      </c>
      <c r="G24" s="39">
        <f t="shared" si="0"/>
        <v>32000</v>
      </c>
      <c r="H24" s="41">
        <f>IF('Getting Started'!D15="No","",SUM(H4:H23))</f>
        <v>32000</v>
      </c>
      <c r="I24" s="41">
        <f>IF('Getting Started'!D16="No","",SUM(I4:I23))</f>
        <v>32000</v>
      </c>
      <c r="J24" s="39">
        <f t="shared" ref="J24:M24" si="1">SUM(J4:J23)</f>
        <v>32000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bfhmxfku1AMiEYu+iNyWuo8hqa/wfVTDgmUpaQEsmJLEqigML7D0L2/MoHA9LCTGVrf2a4uoY5nvmQseB9ANAA==" saltValue="OYu7CeR5geZoUNolwg8yiw==" spinCount="100000" sheet="1" objects="1" scenarios="1"/>
  <mergeCells count="1">
    <mergeCell ref="A28:N28"/>
  </mergeCells>
  <conditionalFormatting sqref="G4:G24 K4:K24 M4:M24">
    <cfRule type="cellIs" dxfId="33" priority="1" operator="lessThan">
      <formula>0</formula>
    </cfRule>
  </conditionalFormatting>
  <dataValidations count="3">
    <dataValidation allowBlank="1" showInputMessage="1" showErrorMessage="1" prompt="To create a revised budget, select &quot;Yes&quot; in cell D14 on the Getting Started tab." sqref="E4" xr:uid="{78785AA2-53B2-4CA4-B95C-96AB5C9EDDCE}"/>
    <dataValidation allowBlank="1" showInputMessage="1" showErrorMessage="1" prompt="To create a Tydings Period budget, select “Yes” in cell D15 on the Getting Started tab." sqref="H4" xr:uid="{1D91C3A3-FF1D-43AF-827C-D779FC359715}"/>
    <dataValidation allowBlank="1" showInputMessage="1" showErrorMessage="1" prompt="To create a revised Tydings Period budget, select “Yes” in cell D16 on the Getting Started tab." sqref="I4" xr:uid="{76E19E22-96B1-4392-87DE-D9A66278B4E7}"/>
  </dataValidations>
  <hyperlinks>
    <hyperlink ref="A2" location="'Table of Contents'!A1" display="Table of Contents" xr:uid="{CBBFA5D0-7DF2-4E03-9848-722EE2F51D59}"/>
    <hyperlink ref="A3" location="'Getting Started'!A1" display="Getting Started" xr:uid="{A7311096-1773-4B06-A103-FF24C2C10CBE}"/>
    <hyperlink ref="A6" location="'a. Part B Administration'!A1" display="a. Part B Administration" xr:uid="{04D2BF9F-65D8-4642-A02D-38A68484F24C}"/>
    <hyperlink ref="A7" location="'b. Part C Administration'!A1" display="b. Part C Administration" xr:uid="{21E39C33-C6BC-431F-BFD3-902A4D9B6CC1}"/>
    <hyperlink ref="A9" location="'d. PBIS and Mental Health'!A1" display="d. PBIS and Mental Health" xr:uid="{1C635339-354F-4B63-BC78-8E05BE81585C}"/>
    <hyperlink ref="A10" location="'e. Personnel Shortages'!A1" display="e. Personnel Shortages" xr:uid="{23515EB9-9FA1-4FD6-A3BF-E465FEF99AD6}"/>
    <hyperlink ref="A8" location="'c. Support and Direct Services'!A1" display="c. Support and Direct Services" xr:uid="{4EDCDA37-252A-4247-B4DE-F5E1112B0D23}"/>
    <hyperlink ref="A11" location="'f. Capacity Building'!A1" display="f. Capacity Building" xr:uid="{5B5C5A20-C7F8-4188-9EA3-8176ED609D26}"/>
    <hyperlink ref="A12" location="'g. Joint Part C Policy'!A1" display="g. Joint Part C Policy" xr:uid="{8B38FCBD-4513-465E-88AB-09BF1990DF3A}"/>
    <hyperlink ref="A14" location="'h. Monitoring and Enforcement'!A1" display="h. Monitoring and Enforcement" xr:uid="{4E106557-D092-4A06-BF22-F512DF24E07A}"/>
    <hyperlink ref="A15" location="'i. Mediation Process'!A1" display="i. Mediation Process" xr:uid="{8DAC7382-9AEF-4F83-8E32-AE86F858E91F}"/>
    <hyperlink ref="A16" location="'j. Support and Direct Services'!A1" display="j. Support and Direct Services" xr:uid="{3DAFE3C0-2BB6-4947-8498-B87DD94AE4FA}"/>
    <hyperlink ref="A17" location="'k. PBIS and Mental Health'!A1" display="k. PBIS and Mental Health" xr:uid="{40969435-00A0-4C1D-9BAF-50CFBA9F810B}"/>
    <hyperlink ref="A18" location="'l. Personnel Shortages'!A1" display="l. Personnel Shortages" xr:uid="{967CF74F-F8FC-436E-9B4C-815B2C9D2914}"/>
    <hyperlink ref="A19" location="'m. Capacity Building'!A1" display="m. Capacity Building" xr:uid="{E529956A-C488-4B38-A0D4-A103C401A28D}"/>
    <hyperlink ref="A20" location="'n. Paperwork Reduction'!A1" display="n. Paperwork Reduction" xr:uid="{1357BA73-84FF-43C9-BD38-D4ED49E0115A}"/>
    <hyperlink ref="A21" location="'o. Improve Tech Use in Class'!A1" display="o. Improve Tech Use in Class" xr:uid="{D24710A1-F558-4465-9C69-341172318CA2}"/>
    <hyperlink ref="A22" location="'p. Technology for Access'!A1" display="p. Technology for Access" xr:uid="{33F77BC5-DAFC-48BB-A823-B7D89B05840E}"/>
    <hyperlink ref="A23" location="'q. Transition Programs'!A1" display="q. Transition Programs" xr:uid="{EF0DDBA9-AAE9-469E-A2A9-B19FE20B567B}"/>
    <hyperlink ref="A24" location="'r. Alternative Programming'!A1" display="r. Alternative Programming" xr:uid="{91CCFFB7-928F-4001-888D-A1866E98CDEE}"/>
    <hyperlink ref="A26" location="'t. TA for Acad Achievement'!A1" display="t. TA for Acad Achievement" xr:uid="{CEBC81B8-A498-40D5-B0F0-C51C00A8E496}"/>
    <hyperlink ref="A27" location="'u-v. High Cost Fund'!A1" display="u-v. High Cost Fund" xr:uid="{1215A6A3-B5D8-47F2-9EFA-A556F1408221}"/>
    <hyperlink ref="A4" location="'State Set-Aside Overview'!A1" display="State Set-Aside Overview" xr:uid="{04593239-DEFE-4530-B336-0E476C1CA088}"/>
    <hyperlink ref="A25" location="'s. Accom and Alt Assessments'!A1" display="s. Accom and Alt Assessments" xr:uid="{690B28E7-E41B-44EF-8F46-1C60A9DE6B9D}"/>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FC68860C-1F78-43A6-A6A1-3CA41376EDF7}">
            <xm:f>'Getting Started'!$D$14="No"</xm:f>
            <x14:dxf>
              <fill>
                <patternFill>
                  <bgColor theme="1"/>
                </patternFill>
              </fill>
            </x14:dxf>
          </x14:cfRule>
          <xm:sqref>E4:E24</xm:sqref>
        </x14:conditionalFormatting>
        <x14:conditionalFormatting xmlns:xm="http://schemas.microsoft.com/office/excel/2006/main">
          <x14:cfRule type="expression" priority="2" id="{987704EF-BE4D-40F8-A562-CCDB5B8E3AD9}">
            <xm:f>'Getting Started'!$D$15="No"</xm:f>
            <x14:dxf>
              <fill>
                <patternFill>
                  <bgColor theme="1"/>
                </patternFill>
              </fill>
            </x14:dxf>
          </x14:cfRule>
          <xm:sqref>H4:H24</xm:sqref>
        </x14:conditionalFormatting>
        <x14:conditionalFormatting xmlns:xm="http://schemas.microsoft.com/office/excel/2006/main">
          <x14:cfRule type="expression" priority="3" id="{C3007402-6CB7-41DC-9E96-39DA1E9F74DD}">
            <xm:f>'Getting Started'!$D$16="No"</xm:f>
            <x14:dxf>
              <fill>
                <patternFill>
                  <bgColor theme="1"/>
                </patternFill>
              </fill>
            </x14:dxf>
          </x14:cfRule>
          <xm:sqref>I4:I24</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202</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203</v>
      </c>
      <c r="D4" s="16">
        <v>15000</v>
      </c>
      <c r="E4" s="38">
        <f>IF('Getting Started'!D$14="Yes",D4,"")</f>
        <v>15000</v>
      </c>
      <c r="F4" s="17">
        <v>8500</v>
      </c>
      <c r="G4" s="39">
        <f>IF('Getting Started'!D$14="No",D4-F4,IF('Getting Started'!D$14="Yes",E4-F4,""))</f>
        <v>6500</v>
      </c>
      <c r="H4" s="60">
        <f>IF('Getting Started'!D$15="Yes",G4,"")</f>
        <v>6500</v>
      </c>
      <c r="I4" s="61">
        <f>IF('Getting Started'!D$16="Yes",H4,"")</f>
        <v>6500</v>
      </c>
      <c r="J4" s="62">
        <v>6500</v>
      </c>
      <c r="K4" s="39">
        <f>IF('Getting Started'!D$15="No","",IF('Getting Started'!D$16="No",H4-J4,IF('Getting Started'!D$16="Yes",I4-J4,"")))</f>
        <v>0</v>
      </c>
      <c r="L4" s="63"/>
      <c r="M4" s="39">
        <f>IF('Getting Started'!D$15="No","",K4-L4)</f>
        <v>0</v>
      </c>
    </row>
    <row r="5" spans="1:13" x14ac:dyDescent="0.35">
      <c r="A5" s="95" t="s">
        <v>66</v>
      </c>
      <c r="C5" s="64" t="s">
        <v>194</v>
      </c>
      <c r="D5" s="16">
        <v>192700</v>
      </c>
      <c r="E5" s="38">
        <f>IF('Getting Started'!D$14="Yes",D5,"")</f>
        <v>192700</v>
      </c>
      <c r="F5" s="17">
        <v>96350</v>
      </c>
      <c r="G5" s="39">
        <f>IF('Getting Started'!D$14="No",D5-F5,IF('Getting Started'!D$14="Yes",E5-F5,""))</f>
        <v>96350</v>
      </c>
      <c r="H5" s="60">
        <f>IF('Getting Started'!D$15="Yes",G5,"")</f>
        <v>96350</v>
      </c>
      <c r="I5" s="61">
        <f>IF('Getting Started'!D$16="Yes",H5,"")</f>
        <v>96350</v>
      </c>
      <c r="J5" s="62">
        <v>93580</v>
      </c>
      <c r="K5" s="39">
        <f>IF('Getting Started'!D$15="No","",IF('Getting Started'!D$16="No",H5-J5,IF('Getting Started'!D$16="Yes",I5-J5,"")))</f>
        <v>2770</v>
      </c>
      <c r="L5" s="63"/>
      <c r="M5" s="39">
        <f>IF('Getting Started'!D$15="No","",K5-L5)</f>
        <v>2770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207700</v>
      </c>
      <c r="E24" s="41">
        <f>IF('Getting Started'!D14="No","",SUM(E4:E23))</f>
        <v>207700</v>
      </c>
      <c r="F24" s="41">
        <f t="shared" ref="F24:G24" si="0">SUM(F4:F23)</f>
        <v>104850</v>
      </c>
      <c r="G24" s="39">
        <f t="shared" si="0"/>
        <v>102850</v>
      </c>
      <c r="H24" s="41">
        <f>IF('Getting Started'!D15="No","",SUM(H4:H23))</f>
        <v>102850</v>
      </c>
      <c r="I24" s="41">
        <f>IF('Getting Started'!D16="No","",SUM(I4:I23))</f>
        <v>102850</v>
      </c>
      <c r="J24" s="39">
        <f t="shared" ref="J24:M24" si="1">SUM(J4:J23)</f>
        <v>100080</v>
      </c>
      <c r="K24" s="39">
        <f t="shared" si="1"/>
        <v>2770</v>
      </c>
      <c r="L24" s="15">
        <f t="shared" si="1"/>
        <v>0</v>
      </c>
      <c r="M24" s="41">
        <f t="shared" si="1"/>
        <v>2770</v>
      </c>
    </row>
    <row r="25" spans="1:14" x14ac:dyDescent="0.35">
      <c r="A25" s="78" t="s">
        <v>51</v>
      </c>
    </row>
    <row r="26" spans="1:14" x14ac:dyDescent="0.35">
      <c r="A26" s="79" t="s">
        <v>53</v>
      </c>
      <c r="C26" s="123"/>
    </row>
    <row r="27" spans="1:14" x14ac:dyDescent="0.35">
      <c r="A27" s="78" t="s">
        <v>55</v>
      </c>
      <c r="C27" s="123" t="s">
        <v>222</v>
      </c>
    </row>
    <row r="28" spans="1:14" x14ac:dyDescent="0.35">
      <c r="A28" s="142" t="s">
        <v>5</v>
      </c>
      <c r="B28" s="142"/>
      <c r="C28" s="142"/>
      <c r="D28" s="142"/>
      <c r="E28" s="142"/>
      <c r="F28" s="142"/>
      <c r="G28" s="142"/>
      <c r="H28" s="142"/>
      <c r="I28" s="142"/>
      <c r="J28" s="142"/>
      <c r="K28" s="142"/>
      <c r="L28" s="142"/>
      <c r="M28" s="142"/>
      <c r="N28" s="142"/>
    </row>
  </sheetData>
  <sheetProtection algorithmName="SHA-512" hashValue="oTfLc+iOp8GLFBRKZQTrb10SfPzviizJlYtvNMoEDrpwgvnPWH+9Q9E82zgAznmGEg3EPWeR9TFs/VuGcmOV9g==" saltValue="m6WspTDsOzCidM/CBWrvLQ==" spinCount="100000" sheet="1" objects="1" scenarios="1"/>
  <mergeCells count="1">
    <mergeCell ref="A28:N28"/>
  </mergeCells>
  <conditionalFormatting sqref="G4:G24 K4:K24 M4:M24">
    <cfRule type="cellIs" dxfId="29" priority="1" operator="lessThan">
      <formula>0</formula>
    </cfRule>
  </conditionalFormatting>
  <dataValidations count="3">
    <dataValidation allowBlank="1" showInputMessage="1" showErrorMessage="1" prompt="To create a revised budget, select &quot;Yes&quot; in cell D14 on the Getting Started tab." sqref="E4" xr:uid="{54F73FD4-57DD-4486-A5CC-53688F4FE939}"/>
    <dataValidation allowBlank="1" showInputMessage="1" showErrorMessage="1" prompt="To create a Tydings Period budget, select “Yes” in cell D15 on the Getting Started tab." sqref="H4" xr:uid="{7516C335-DEDF-4567-8A4B-29AB7D730177}"/>
    <dataValidation allowBlank="1" showInputMessage="1" showErrorMessage="1" prompt="To create a revised Tydings Period budget, select “Yes” in cell D16 on the Getting Started tab." sqref="I4" xr:uid="{351DC193-6AE2-489F-BAA9-68D10B1BD394}"/>
  </dataValidations>
  <hyperlinks>
    <hyperlink ref="A2" location="'Table of Contents'!A1" display="Table of Contents" xr:uid="{37689713-140F-43E4-B841-9F1A4BCD23E6}"/>
    <hyperlink ref="A3" location="'Getting Started'!A1" display="Getting Started" xr:uid="{FF882667-1C11-416B-B9B9-C2EAAA9FB3F1}"/>
    <hyperlink ref="A6" location="'a. Part B Administration'!A1" display="a. Part B Administration" xr:uid="{1CB14AFF-C200-4C96-BAEA-189D08449DA3}"/>
    <hyperlink ref="A7" location="'b. Part C Administration'!A1" display="b. Part C Administration" xr:uid="{2D86EFD3-F813-4ED3-8BDE-3FD886B703D3}"/>
    <hyperlink ref="A9" location="'d. PBIS and Mental Health'!A1" display="d. PBIS and Mental Health" xr:uid="{A22793EE-B915-4242-8CDE-3F818FF97C48}"/>
    <hyperlink ref="A10" location="'e. Personnel Shortages'!A1" display="e. Personnel Shortages" xr:uid="{EC49385F-079E-4E75-8D48-1B424C9BB7F2}"/>
    <hyperlink ref="A8" location="'c. Support and Direct Services'!A1" display="c. Support and Direct Services" xr:uid="{333F5D55-B531-44E9-9492-C65E62F19D24}"/>
    <hyperlink ref="A11" location="'f. Capacity Building'!A1" display="f. Capacity Building" xr:uid="{1AD019A0-F868-4E3D-AB97-DE9EB97BD4F6}"/>
    <hyperlink ref="A12" location="'g. Joint Part C Policy'!A1" display="g. Joint Part C Policy" xr:uid="{AF4E5401-5332-407C-8EFA-B796F0948E31}"/>
    <hyperlink ref="A14" location="'h. Monitoring and Enforcement'!A1" display="h. Monitoring and Enforcement" xr:uid="{0C56F77E-F12C-4F6D-BA4A-D858F2739E9A}"/>
    <hyperlink ref="A15" location="'i. Mediation Process'!A1" display="i. Mediation Process" xr:uid="{043A7CE9-8356-46F0-8505-3D9716D36C9F}"/>
    <hyperlink ref="A16" location="'j. Support and Direct Services'!A1" display="j. Support and Direct Services" xr:uid="{9046696F-B6B6-4E93-AAED-00B1397234B6}"/>
    <hyperlink ref="A17" location="'k. PBIS and Mental Health'!A1" display="k. PBIS and Mental Health" xr:uid="{6C32A5A9-6D67-4426-9238-D5E6BD1A2D21}"/>
    <hyperlink ref="A18" location="'l. Personnel Shortages'!A1" display="l. Personnel Shortages" xr:uid="{703507D6-0BFA-4D13-A09D-4A39AA20991B}"/>
    <hyperlink ref="A19" location="'m. Capacity Building'!A1" display="m. Capacity Building" xr:uid="{BEB40BAC-3976-48FA-BC20-42C41CEA1605}"/>
    <hyperlink ref="A20" location="'n. Paperwork Reduction'!A1" display="n. Paperwork Reduction" xr:uid="{710B1825-E8B2-4266-8335-27C1A695A9B4}"/>
    <hyperlink ref="A21" location="'o. Improve Tech Use in Class'!A1" display="o. Improve Tech Use in Class" xr:uid="{FD37468B-07FB-47FE-80D0-B2FE442DF5C8}"/>
    <hyperlink ref="A22" location="'p. Technology for Access'!A1" display="p. Technology for Access" xr:uid="{0280F150-9248-499A-B9A4-F50513690C01}"/>
    <hyperlink ref="A23" location="'q. Transition Programs'!A1" display="q. Transition Programs" xr:uid="{0CF5D3DB-744A-4308-B542-ECC6C15CBD3E}"/>
    <hyperlink ref="A24" location="'r. Alternative Programming'!A1" display="r. Alternative Programming" xr:uid="{A4FE3CE2-3CFB-4939-8581-039AFB1C9A85}"/>
    <hyperlink ref="A26" location="'t. TA for Acad Achievement'!A1" display="t. TA for Acad Achievement" xr:uid="{B63EBEE8-7F66-41EB-875D-F19F1B5F004E}"/>
    <hyperlink ref="A27" location="'u-v. High Cost Fund'!A1" display="u-v. High Cost Fund" xr:uid="{E4FC3EA3-08F3-40EE-8092-3CC662E343A8}"/>
    <hyperlink ref="A4" location="'State Set-Aside Overview'!A1" display="State Set-Aside Overview" xr:uid="{8308D91E-055E-4085-B9C4-DEB1E30A93CB}"/>
    <hyperlink ref="A25" location="'s. Accom and Alt Assessments'!A1" display="s. Accom and Alt Assessments" xr:uid="{BBE485CD-A745-423B-AF26-32942B84BF3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ABF5CE6-6B03-4A22-936A-CCA134C70704}">
            <xm:f>'Getting Started'!$D$14="No"</xm:f>
            <x14:dxf>
              <fill>
                <patternFill>
                  <bgColor theme="1"/>
                </patternFill>
              </fill>
            </x14:dxf>
          </x14:cfRule>
          <xm:sqref>E4:E24</xm:sqref>
        </x14:conditionalFormatting>
        <x14:conditionalFormatting xmlns:xm="http://schemas.microsoft.com/office/excel/2006/main">
          <x14:cfRule type="expression" priority="2" id="{6F76EFCD-FA5E-4914-89E9-22FE8226AA7F}">
            <xm:f>'Getting Started'!$D$15="No"</xm:f>
            <x14:dxf>
              <fill>
                <patternFill>
                  <bgColor theme="1"/>
                </patternFill>
              </fill>
            </x14:dxf>
          </x14:cfRule>
          <xm:sqref>H4:H24</xm:sqref>
        </x14:conditionalFormatting>
        <x14:conditionalFormatting xmlns:xm="http://schemas.microsoft.com/office/excel/2006/main">
          <x14:cfRule type="expression" priority="3" id="{76016246-8B15-48F0-A54A-66F070C1DFF7}">
            <xm:f>'Getting Started'!$D$16="No"</xm:f>
            <x14:dxf>
              <fill>
                <patternFill>
                  <bgColor theme="1"/>
                </patternFill>
              </fill>
            </x14:dxf>
          </x14:cfRule>
          <xm:sqref>I4:I24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7030A0"/>
  </sheetPr>
  <dimension ref="A1:E57"/>
  <sheetViews>
    <sheetView showGridLines="0" workbookViewId="0"/>
  </sheetViews>
  <sheetFormatPr defaultColWidth="0" defaultRowHeight="14.5" zeroHeight="1" x14ac:dyDescent="0.35"/>
  <cols>
    <col min="1" max="1" width="29.453125" style="1" bestFit="1" customWidth="1"/>
    <col min="2" max="2" width="9.1796875" customWidth="1"/>
    <col min="3" max="3" width="68.54296875" customWidth="1"/>
    <col min="4" max="4" width="9.1796875" customWidth="1"/>
    <col min="5" max="5" width="0" hidden="1" customWidth="1"/>
    <col min="6" max="16384" width="9.1796875" hidden="1"/>
  </cols>
  <sheetData>
    <row r="1" spans="1:5" ht="18.5" x14ac:dyDescent="0.45">
      <c r="A1" s="10" t="s">
        <v>6</v>
      </c>
      <c r="B1" s="11"/>
      <c r="C1" s="11"/>
    </row>
    <row r="2" spans="1:5" x14ac:dyDescent="0.35">
      <c r="E2" s="19"/>
    </row>
    <row r="3" spans="1:5" ht="15.5" x14ac:dyDescent="0.35">
      <c r="A3" s="2" t="s">
        <v>7</v>
      </c>
      <c r="B3" s="94"/>
      <c r="C3" s="2" t="s">
        <v>8</v>
      </c>
      <c r="E3" s="81"/>
    </row>
    <row r="4" spans="1:5" x14ac:dyDescent="0.35">
      <c r="E4" s="81"/>
    </row>
    <row r="5" spans="1:5" ht="29" x14ac:dyDescent="0.35">
      <c r="A5" s="75" t="s">
        <v>9</v>
      </c>
      <c r="C5" s="3" t="s">
        <v>10</v>
      </c>
      <c r="E5" s="81"/>
    </row>
    <row r="6" spans="1:5" x14ac:dyDescent="0.35">
      <c r="A6" s="75"/>
      <c r="C6" s="3"/>
      <c r="E6" s="81"/>
    </row>
    <row r="7" spans="1:5" ht="29" x14ac:dyDescent="0.35">
      <c r="A7" s="76" t="s">
        <v>11</v>
      </c>
      <c r="C7" s="3" t="s">
        <v>12</v>
      </c>
    </row>
    <row r="8" spans="1:5" x14ac:dyDescent="0.35"/>
    <row r="9" spans="1:5" ht="15.5" x14ac:dyDescent="0.35">
      <c r="A9" s="2" t="s">
        <v>13</v>
      </c>
      <c r="C9" s="3"/>
    </row>
    <row r="10" spans="1:5" x14ac:dyDescent="0.35"/>
    <row r="11" spans="1:5" x14ac:dyDescent="0.35">
      <c r="A11" s="82" t="s">
        <v>14</v>
      </c>
      <c r="C11" s="3" t="s">
        <v>15</v>
      </c>
    </row>
    <row r="12" spans="1:5" x14ac:dyDescent="0.35">
      <c r="A12" s="83"/>
    </row>
    <row r="13" spans="1:5" x14ac:dyDescent="0.35">
      <c r="A13" s="82" t="s">
        <v>16</v>
      </c>
      <c r="C13" s="3" t="s">
        <v>17</v>
      </c>
    </row>
    <row r="14" spans="1:5" x14ac:dyDescent="0.35">
      <c r="A14" s="82"/>
      <c r="C14" s="3"/>
    </row>
    <row r="15" spans="1:5" ht="43.5" x14ac:dyDescent="0.35">
      <c r="A15" s="82" t="s">
        <v>18</v>
      </c>
      <c r="C15" s="3" t="s">
        <v>19</v>
      </c>
    </row>
    <row r="16" spans="1:5" x14ac:dyDescent="0.35">
      <c r="A16" s="83"/>
    </row>
    <row r="17" spans="1:3" ht="58" x14ac:dyDescent="0.35">
      <c r="A17" s="82" t="s">
        <v>20</v>
      </c>
      <c r="C17" s="3" t="s">
        <v>21</v>
      </c>
    </row>
    <row r="18" spans="1:3" x14ac:dyDescent="0.35">
      <c r="A18" s="83"/>
    </row>
    <row r="19" spans="1:3" ht="29" x14ac:dyDescent="0.35">
      <c r="A19" s="82" t="s">
        <v>22</v>
      </c>
      <c r="C19" s="3" t="s">
        <v>23</v>
      </c>
    </row>
    <row r="20" spans="1:3" x14ac:dyDescent="0.35">
      <c r="A20" s="84"/>
    </row>
    <row r="21" spans="1:3" ht="58" x14ac:dyDescent="0.35">
      <c r="A21" s="82" t="s">
        <v>24</v>
      </c>
      <c r="C21" s="3" t="s">
        <v>25</v>
      </c>
    </row>
    <row r="22" spans="1:3" x14ac:dyDescent="0.35"/>
    <row r="23" spans="1:3" ht="101.5" x14ac:dyDescent="0.35">
      <c r="A23" s="82" t="s">
        <v>26</v>
      </c>
      <c r="C23" s="3" t="s">
        <v>27</v>
      </c>
    </row>
    <row r="24" spans="1:3" x14ac:dyDescent="0.35"/>
    <row r="25" spans="1:3" ht="15.5" x14ac:dyDescent="0.35">
      <c r="A25" s="2" t="s">
        <v>28</v>
      </c>
      <c r="C25" s="3"/>
    </row>
    <row r="26" spans="1:3" x14ac:dyDescent="0.35"/>
    <row r="27" spans="1:3" ht="43.5" x14ac:dyDescent="0.35">
      <c r="A27" s="82" t="s">
        <v>29</v>
      </c>
      <c r="C27" s="3" t="s">
        <v>30</v>
      </c>
    </row>
    <row r="28" spans="1:3" x14ac:dyDescent="0.35">
      <c r="A28" s="83"/>
    </row>
    <row r="29" spans="1:3" ht="43.5" x14ac:dyDescent="0.35">
      <c r="A29" s="82" t="s">
        <v>31</v>
      </c>
      <c r="C29" s="3" t="s">
        <v>32</v>
      </c>
    </row>
    <row r="30" spans="1:3" x14ac:dyDescent="0.35">
      <c r="A30" s="83"/>
    </row>
    <row r="31" spans="1:3" ht="43.5" x14ac:dyDescent="0.35">
      <c r="A31" s="82" t="s">
        <v>33</v>
      </c>
      <c r="C31" s="3" t="s">
        <v>34</v>
      </c>
    </row>
    <row r="32" spans="1:3" x14ac:dyDescent="0.35">
      <c r="A32" s="83"/>
    </row>
    <row r="33" spans="1:3" ht="58" x14ac:dyDescent="0.35">
      <c r="A33" s="82" t="s">
        <v>35</v>
      </c>
      <c r="C33" s="3" t="s">
        <v>36</v>
      </c>
    </row>
    <row r="34" spans="1:3" x14ac:dyDescent="0.35">
      <c r="A34" s="83"/>
    </row>
    <row r="35" spans="1:3" ht="29" x14ac:dyDescent="0.35">
      <c r="A35" s="82" t="s">
        <v>37</v>
      </c>
      <c r="C35" s="3" t="s">
        <v>38</v>
      </c>
    </row>
    <row r="36" spans="1:3" x14ac:dyDescent="0.35">
      <c r="A36" s="83"/>
    </row>
    <row r="37" spans="1:3" ht="58" x14ac:dyDescent="0.35">
      <c r="A37" s="82" t="s">
        <v>39</v>
      </c>
      <c r="C37" s="3" t="s">
        <v>40</v>
      </c>
    </row>
    <row r="38" spans="1:3" x14ac:dyDescent="0.35">
      <c r="A38" s="83"/>
    </row>
    <row r="39" spans="1:3" ht="29" x14ac:dyDescent="0.35">
      <c r="A39" s="82" t="s">
        <v>41</v>
      </c>
      <c r="C39" s="3" t="s">
        <v>42</v>
      </c>
    </row>
    <row r="40" spans="1:3" x14ac:dyDescent="0.35">
      <c r="A40" s="83"/>
    </row>
    <row r="41" spans="1:3" ht="29" x14ac:dyDescent="0.35">
      <c r="A41" s="82" t="s">
        <v>43</v>
      </c>
      <c r="C41" s="3" t="s">
        <v>44</v>
      </c>
    </row>
    <row r="42" spans="1:3" x14ac:dyDescent="0.35">
      <c r="A42" s="83"/>
    </row>
    <row r="43" spans="1:3" ht="43.5" x14ac:dyDescent="0.35">
      <c r="A43" s="82" t="s">
        <v>45</v>
      </c>
      <c r="C43" s="3" t="s">
        <v>46</v>
      </c>
    </row>
    <row r="44" spans="1:3" x14ac:dyDescent="0.35">
      <c r="A44" s="83"/>
    </row>
    <row r="45" spans="1:3" ht="29" x14ac:dyDescent="0.35">
      <c r="A45" s="82" t="s">
        <v>47</v>
      </c>
      <c r="C45" s="3" t="s">
        <v>48</v>
      </c>
    </row>
    <row r="46" spans="1:3" x14ac:dyDescent="0.35">
      <c r="A46" s="83"/>
    </row>
    <row r="47" spans="1:3" ht="58" x14ac:dyDescent="0.35">
      <c r="A47" s="82" t="s">
        <v>49</v>
      </c>
      <c r="C47" s="3" t="s">
        <v>50</v>
      </c>
    </row>
    <row r="48" spans="1:3" x14ac:dyDescent="0.35">
      <c r="A48" s="83"/>
    </row>
    <row r="49" spans="1:4" ht="58" x14ac:dyDescent="0.35">
      <c r="A49" s="82" t="s">
        <v>51</v>
      </c>
      <c r="C49" s="3" t="s">
        <v>52</v>
      </c>
    </row>
    <row r="50" spans="1:4" x14ac:dyDescent="0.35">
      <c r="A50" s="83"/>
    </row>
    <row r="51" spans="1:4" ht="58" x14ac:dyDescent="0.35">
      <c r="A51" s="82" t="s">
        <v>53</v>
      </c>
      <c r="C51" s="3" t="s">
        <v>54</v>
      </c>
    </row>
    <row r="52" spans="1:4" x14ac:dyDescent="0.35">
      <c r="A52" s="83"/>
    </row>
    <row r="53" spans="1:4" ht="43.5" x14ac:dyDescent="0.35">
      <c r="A53" s="82" t="s">
        <v>55</v>
      </c>
      <c r="C53" s="3" t="s">
        <v>56</v>
      </c>
    </row>
    <row r="54" spans="1:4" x14ac:dyDescent="0.35">
      <c r="A54" s="83"/>
    </row>
    <row r="55" spans="1:4" x14ac:dyDescent="0.35"/>
    <row r="56" spans="1:4" x14ac:dyDescent="0.35">
      <c r="A56" s="123" t="s">
        <v>221</v>
      </c>
      <c r="B56" s="124"/>
    </row>
    <row r="57" spans="1:4" x14ac:dyDescent="0.35">
      <c r="A57" s="142" t="s">
        <v>5</v>
      </c>
      <c r="B57" s="142"/>
      <c r="C57" s="142"/>
      <c r="D57" s="142"/>
    </row>
  </sheetData>
  <sheetProtection algorithmName="SHA-512" hashValue="nl79KDhb8zIq9ThgvgeuxI3lIOxExOrFvOuKmWFk0U3i801Qa7GUyXW4NmnJkFef8EOGNELedWts6qZN/RN9+g==" saltValue="IxwAqGNHjiXzyQqbE4sKyg==" spinCount="100000" sheet="1" objects="1" scenarios="1"/>
  <mergeCells count="1">
    <mergeCell ref="A57:D57"/>
  </mergeCells>
  <hyperlinks>
    <hyperlink ref="A5" location="'Getting Started'!A1" display="Getting Started" xr:uid="{00000000-0004-0000-0100-000000000000}"/>
    <hyperlink ref="A11" location="'a. Part B Administration'!A1" display="a. Part B Administration" xr:uid="{00000000-0004-0000-0100-000002000000}"/>
    <hyperlink ref="A13" location="'b. Part C Administration'!A1" display="b. Part C Administration" xr:uid="{00000000-0004-0000-0100-000003000000}"/>
    <hyperlink ref="A17" location="'d. PBIS and Mental Health'!A1" display="d. PBIS and Mental Health" xr:uid="{00000000-0004-0000-0100-000004000000}"/>
    <hyperlink ref="A19" location="'e. Personnel Shortages'!A1" display="e. Personnel Shortages" xr:uid="{00000000-0004-0000-0100-000005000000}"/>
    <hyperlink ref="A15" location="'c. Support and Direct Services'!A1" display="c. Support and Direct Services" xr:uid="{00000000-0004-0000-0100-000006000000}"/>
    <hyperlink ref="A21" location="'f. Capacity Building'!A1" display="f. Capacity Building" xr:uid="{00000000-0004-0000-0100-000007000000}"/>
    <hyperlink ref="A23" location="'g. Joint Part C Policy'!A1" display="g. Joint Part C Policy" xr:uid="{00000000-0004-0000-0100-000008000000}"/>
    <hyperlink ref="A27" location="'h. Monitoring and Enforcement'!A1" display="h. Monitoring and Enforcement" xr:uid="{00000000-0004-0000-0100-00000A000000}"/>
    <hyperlink ref="A29" location="'i. Mediation Process'!A1" display="i. Mediation Process" xr:uid="{00000000-0004-0000-0100-00000B000000}"/>
    <hyperlink ref="A31" location="'j. Support and Direct Services'!A1" display="j. Support and Direct Services" xr:uid="{00000000-0004-0000-0100-00000C000000}"/>
    <hyperlink ref="A33" location="'k. PBIS and Mental Health'!A1" display="k. PBIS and Mental Health" xr:uid="{00000000-0004-0000-0100-00000D000000}"/>
    <hyperlink ref="A35" location="'l. Personnel Shortages'!A1" display="l. Personnel Shortages" xr:uid="{00000000-0004-0000-0100-00000E000000}"/>
    <hyperlink ref="A37" location="'m. Capacity Building'!A1" display="m. Capacity Building" xr:uid="{00000000-0004-0000-0100-00000F000000}"/>
    <hyperlink ref="A39" location="'n. Paperwork Reduction'!A1" display="n. Paperwork Reduction" xr:uid="{00000000-0004-0000-0100-000010000000}"/>
    <hyperlink ref="A41" location="'o. Improve Tech Use in Class'!A1" display="o. Improve Tech Use in Class" xr:uid="{00000000-0004-0000-0100-000011000000}"/>
    <hyperlink ref="A43" location="'p. Technology for Access'!A1" display="p. Technology for Access" xr:uid="{00000000-0004-0000-0100-000012000000}"/>
    <hyperlink ref="A45" location="'q. Transition Programs'!A1" display="q. Transition Programs" xr:uid="{00000000-0004-0000-0100-000013000000}"/>
    <hyperlink ref="A47" location="'r. Alternative Programming'!A1" display="r. Alternative Programming" xr:uid="{00000000-0004-0000-0100-000014000000}"/>
    <hyperlink ref="A49" location="'s. Accom and Alt Assessments'!A1" display="s. Accom and Alt Assessments" xr:uid="{00000000-0004-0000-0100-000015000000}"/>
    <hyperlink ref="A51" location="'t. TA for Acad Achievement'!A1" display="t. TA for Acad Achievement" xr:uid="{00000000-0004-0000-0100-000016000000}"/>
    <hyperlink ref="A53" location="'u-v. High Cost Fund'!A1" display="u-v. High Cost Fund" xr:uid="{00000000-0004-0000-0100-000017000000}"/>
    <hyperlink ref="A7" location="'State Set-Aside Overview'!A1" display="State Set-Aside Overview" xr:uid="{00000000-0004-0000-0100-000018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204</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G24" si="0">SUM(F4:F23)</f>
        <v>0</v>
      </c>
      <c r="G24" s="39">
        <f t="shared" si="0"/>
        <v>0</v>
      </c>
      <c r="H24" s="41">
        <f>IF('Getting Started'!D15="No","",SUM(H4:H23))</f>
        <v>0</v>
      </c>
      <c r="I24" s="41">
        <f>IF('Getting Started'!D16="No","",SUM(I4:I23))</f>
        <v>0</v>
      </c>
      <c r="J24" s="39">
        <f t="shared" ref="J24:M24" si="1">SUM(J4:J23)</f>
        <v>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fGXeXqzXDx99CSxDE/NFrxJyB15ja9fe0kIl629vAWCxRp7fKABQi9lyT5wGGxlIcuXMJHWcIxBc3vxFhqy7fA==" saltValue="N7KZW5HKyOsEMaEfUVAs7Q==" spinCount="100000" sheet="1" objects="1" scenarios="1"/>
  <mergeCells count="1">
    <mergeCell ref="A28:N28"/>
  </mergeCells>
  <conditionalFormatting sqref="G4:G24 K4:K24 M4:M24">
    <cfRule type="cellIs" dxfId="25" priority="1" operator="lessThan">
      <formula>0</formula>
    </cfRule>
  </conditionalFormatting>
  <dataValidations count="3">
    <dataValidation allowBlank="1" showInputMessage="1" showErrorMessage="1" prompt="To create a revised budget, select &quot;Yes&quot; in cell D14 on the Getting Started tab." sqref="E4" xr:uid="{8DD13535-5D4F-430F-8761-B4ACB6C3C3E2}"/>
    <dataValidation allowBlank="1" showInputMessage="1" showErrorMessage="1" prompt="To create a Tydings Period budget, select “Yes” in cell D15 on the Getting Started tab." sqref="H4" xr:uid="{3D6276F7-667A-4C74-9179-D7286D8F8B81}"/>
    <dataValidation allowBlank="1" showInputMessage="1" showErrorMessage="1" prompt="To create a revised Tydings Period budget, select “Yes” in cell D16 on the Getting Started tab." sqref="I4" xr:uid="{D943365F-E61A-4C21-A3BF-DF7750F12E37}"/>
  </dataValidations>
  <hyperlinks>
    <hyperlink ref="A2" location="'Table of Contents'!A1" display="Table of Contents" xr:uid="{3EDB9D68-F169-4DB4-B5D1-0D607CCC8C11}"/>
    <hyperlink ref="A3" location="'Getting Started'!A1" display="Getting Started" xr:uid="{6F68678E-7713-4834-B0A0-2BAB993A80B9}"/>
    <hyperlink ref="A6" location="'a. Part B Administration'!A1" display="a. Part B Administration" xr:uid="{3D8A5DD3-D0D8-4914-9FE9-3E539FCC779C}"/>
    <hyperlink ref="A7" location="'b. Part C Administration'!A1" display="b. Part C Administration" xr:uid="{0B98FB19-1C28-4A8A-9FB6-9440EF8FBB5C}"/>
    <hyperlink ref="A9" location="'d. PBIS and Mental Health'!A1" display="d. PBIS and Mental Health" xr:uid="{7D13F7BA-4247-4243-A905-8F9FEB0C2AFD}"/>
    <hyperlink ref="A10" location="'e. Personnel Shortages'!A1" display="e. Personnel Shortages" xr:uid="{4DE2FA47-10C7-4406-A16C-1038CA051ED9}"/>
    <hyperlink ref="A8" location="'c. Support and Direct Services'!A1" display="c. Support and Direct Services" xr:uid="{94C9FC26-89B9-49E1-AFF4-F274AFC56463}"/>
    <hyperlink ref="A11" location="'f. Capacity Building'!A1" display="f. Capacity Building" xr:uid="{4455A98A-E85D-4BCC-A48C-D904D7F81D3D}"/>
    <hyperlink ref="A12" location="'g. Joint Part C Policy'!A1" display="g. Joint Part C Policy" xr:uid="{18BA89ED-1445-4117-BB9A-EC26C3CC5461}"/>
    <hyperlink ref="A14" location="'h. Monitoring and Enforcement'!A1" display="h. Monitoring and Enforcement" xr:uid="{B69DD317-4A4F-4505-A47E-1D52A733687C}"/>
    <hyperlink ref="A15" location="'i. Mediation Process'!A1" display="i. Mediation Process" xr:uid="{A09AF89E-45B7-40B7-AD97-FB89EA0746F1}"/>
    <hyperlink ref="A16" location="'j. Support and Direct Services'!A1" display="j. Support and Direct Services" xr:uid="{0D70E239-F513-4BD6-89D0-59DED7F48829}"/>
    <hyperlink ref="A17" location="'k. PBIS and Mental Health'!A1" display="k. PBIS and Mental Health" xr:uid="{FF9C1CB3-132C-41BF-A254-DFC417FF21E7}"/>
    <hyperlink ref="A18" location="'l. Personnel Shortages'!A1" display="l. Personnel Shortages" xr:uid="{D57BDC1E-074E-4912-B6E9-79E7F8A9A77B}"/>
    <hyperlink ref="A19" location="'m. Capacity Building'!A1" display="m. Capacity Building" xr:uid="{3056F399-3168-4576-A5D7-CFED1946A218}"/>
    <hyperlink ref="A20" location="'n. Paperwork Reduction'!A1" display="n. Paperwork Reduction" xr:uid="{D0F9D945-A093-430D-8C1A-4B12B761D32F}"/>
    <hyperlink ref="A21" location="'o. Improve Tech Use in Class'!A1" display="o. Improve Tech Use in Class" xr:uid="{2D190B10-8A4C-4F7B-B750-60A201E420C9}"/>
    <hyperlink ref="A22" location="'p. Technology for Access'!A1" display="p. Technology for Access" xr:uid="{BBFC1658-BE42-4856-A747-A250BA61DC2B}"/>
    <hyperlink ref="A23" location="'q. Transition Programs'!A1" display="q. Transition Programs" xr:uid="{F043C4D2-BC8D-4296-8985-1086F0F3EF62}"/>
    <hyperlink ref="A24" location="'r. Alternative Programming'!A1" display="r. Alternative Programming" xr:uid="{8BB3661C-E121-4EA8-A5CE-E2D00D5CE9E9}"/>
    <hyperlink ref="A26" location="'t. TA for Acad Achievement'!A1" display="t. TA for Acad Achievement" xr:uid="{7C660663-388E-46B0-84CD-CF131D69F4B7}"/>
    <hyperlink ref="A27" location="'u-v. High Cost Fund'!A1" display="u-v. High Cost Fund" xr:uid="{A944F8FF-3FF9-4301-85A2-2C97CDAD947C}"/>
    <hyperlink ref="A4" location="'State Set-Aside Overview'!A1" display="State Set-Aside Overview" xr:uid="{A0DFD7B3-D661-4DF8-9BC0-B90E38465062}"/>
    <hyperlink ref="A25" location="'s. Accom and Alt Assessments'!A1" display="s. Accom and Alt Assessments" xr:uid="{848EF3AB-DC72-4E4F-A25C-9DFEE3417FFE}"/>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03814702-4744-42E1-AD71-8B1ACF66CBB6}">
            <xm:f>'Getting Started'!$D$14="No"</xm:f>
            <x14:dxf>
              <fill>
                <patternFill>
                  <bgColor theme="1"/>
                </patternFill>
              </fill>
            </x14:dxf>
          </x14:cfRule>
          <xm:sqref>E4:E24</xm:sqref>
        </x14:conditionalFormatting>
        <x14:conditionalFormatting xmlns:xm="http://schemas.microsoft.com/office/excel/2006/main">
          <x14:cfRule type="expression" priority="2" id="{D3E4B122-D031-486F-BAF9-99CF0E6794FB}">
            <xm:f>'Getting Started'!$D$15="No"</xm:f>
            <x14:dxf>
              <fill>
                <patternFill>
                  <bgColor theme="1"/>
                </patternFill>
              </fill>
            </x14:dxf>
          </x14:cfRule>
          <xm:sqref>H4:H24</xm:sqref>
        </x14:conditionalFormatting>
        <x14:conditionalFormatting xmlns:xm="http://schemas.microsoft.com/office/excel/2006/main">
          <x14:cfRule type="expression" priority="3" id="{77F080D4-C6B5-44CF-9634-DA046FC32442}">
            <xm:f>'Getting Started'!$D$16="No"</xm:f>
            <x14:dxf>
              <fill>
                <patternFill>
                  <bgColor theme="1"/>
                </patternFill>
              </fill>
            </x14:dxf>
          </x14:cfRule>
          <xm:sqref>I4:I24</xm:sqref>
        </x14:conditionalFormatting>
      </x14:conditionalFormatting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tabColor theme="8" tint="0.39997558519241921"/>
  </sheetPr>
  <dimension ref="A1:N28"/>
  <sheetViews>
    <sheetView showGridLines="0" workbookViewId="0">
      <selection activeCell="C27" sqref="C27"/>
    </sheetView>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205</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450000</v>
      </c>
      <c r="E4" s="38">
        <f>IF('Getting Started'!D$14="Yes",D4,"")</f>
        <v>450000</v>
      </c>
      <c r="F4" s="17">
        <v>215000</v>
      </c>
      <c r="G4" s="39">
        <f>IF('Getting Started'!D$14="No",D4-F4,IF('Getting Started'!D$14="Yes",E4-F4,""))</f>
        <v>235000</v>
      </c>
      <c r="H4" s="60">
        <f>IF('Getting Started'!D$15="Yes",G4,"")</f>
        <v>235000</v>
      </c>
      <c r="I4" s="61">
        <f>IF('Getting Started'!D$16="Yes",H4,"")</f>
        <v>235000</v>
      </c>
      <c r="J4" s="62">
        <v>235000</v>
      </c>
      <c r="K4" s="39">
        <f>IF('Getting Started'!D$15="No","",IF('Getting Started'!D$16="No",H4-J4,IF('Getting Started'!D$16="Yes",I4-J4,"")))</f>
        <v>0</v>
      </c>
      <c r="L4" s="63"/>
      <c r="M4" s="39">
        <f>IF('Getting Started'!D$15="No","",K4-L4)</f>
        <v>0</v>
      </c>
    </row>
    <row r="5" spans="1:13" x14ac:dyDescent="0.35">
      <c r="A5" s="95" t="s">
        <v>66</v>
      </c>
      <c r="C5" s="64" t="s">
        <v>182</v>
      </c>
      <c r="D5" s="16">
        <v>150000</v>
      </c>
      <c r="E5" s="38">
        <f>IF('Getting Started'!D$14="Yes",D5,"")</f>
        <v>150000</v>
      </c>
      <c r="F5" s="17">
        <v>85000</v>
      </c>
      <c r="G5" s="39">
        <f>IF('Getting Started'!D$14="No",D5-F5,IF('Getting Started'!D$14="Yes",E5-F5,""))</f>
        <v>65000</v>
      </c>
      <c r="H5" s="60">
        <f>IF('Getting Started'!D$15="Yes",G5,"")</f>
        <v>65000</v>
      </c>
      <c r="I5" s="61">
        <f>IF('Getting Started'!D$16="Yes",H5,"")</f>
        <v>65000</v>
      </c>
      <c r="J5" s="62">
        <v>65000</v>
      </c>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600000</v>
      </c>
      <c r="E24" s="41">
        <f>IF('Getting Started'!D14="No","",SUM(E4:E23))</f>
        <v>600000</v>
      </c>
      <c r="F24" s="41">
        <f t="shared" ref="F24:G24" si="0">SUM(F4:F23)</f>
        <v>300000</v>
      </c>
      <c r="G24" s="39">
        <f t="shared" si="0"/>
        <v>300000</v>
      </c>
      <c r="H24" s="41">
        <f>IF('Getting Started'!D15="No","",SUM(H4:H23))</f>
        <v>300000</v>
      </c>
      <c r="I24" s="41">
        <f>IF('Getting Started'!D16="No","",SUM(I4:I23))</f>
        <v>300000</v>
      </c>
      <c r="J24" s="39">
        <f t="shared" ref="J24:M24" si="1">SUM(J4:J23)</f>
        <v>300000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222</v>
      </c>
    </row>
    <row r="28" spans="1:14" x14ac:dyDescent="0.35">
      <c r="A28" s="142" t="s">
        <v>5</v>
      </c>
      <c r="B28" s="142"/>
      <c r="C28" s="142"/>
      <c r="D28" s="142"/>
      <c r="E28" s="142"/>
      <c r="F28" s="142"/>
      <c r="G28" s="142"/>
      <c r="H28" s="142"/>
      <c r="I28" s="142"/>
      <c r="J28" s="142"/>
      <c r="K28" s="142"/>
      <c r="L28" s="142"/>
      <c r="M28" s="142"/>
      <c r="N28" s="142"/>
    </row>
  </sheetData>
  <sheetProtection algorithmName="SHA-512" hashValue="5rRMkq5cvSDvDBO+3yPVSEAdosV5V0vCuVa/nQt7bp4FUpmb7qGer3xGXY4cyZ9ZQFICjFr7YWJkv9OX8J/VeQ==" saltValue="stJdIUPcz9hqb+6n+KHsew==" spinCount="100000" sheet="1" objects="1" scenarios="1"/>
  <mergeCells count="1">
    <mergeCell ref="A28:N28"/>
  </mergeCells>
  <conditionalFormatting sqref="G4:G24 K4:K24 M4:M24">
    <cfRule type="cellIs" dxfId="21" priority="1" operator="lessThan">
      <formula>0</formula>
    </cfRule>
  </conditionalFormatting>
  <dataValidations count="3">
    <dataValidation allowBlank="1" showInputMessage="1" showErrorMessage="1" prompt="To create a revised budget, select &quot;Yes&quot; in cell D14 on the Getting Started tab." sqref="E4" xr:uid="{79FC9951-8774-47C9-8182-FB1DD58948C7}"/>
    <dataValidation allowBlank="1" showInputMessage="1" showErrorMessage="1" prompt="To create a Tydings Period budget, select “Yes” in cell D15 on the Getting Started tab." sqref="H4" xr:uid="{F8980AB9-B6FB-4789-BECE-E092267F1C40}"/>
    <dataValidation allowBlank="1" showInputMessage="1" showErrorMessage="1" prompt="To create a revised Tydings Period budget, select “Yes” in cell D16 on the Getting Started tab." sqref="I4" xr:uid="{E729F4E3-2D4C-4787-9BEC-DC0F3264AF33}"/>
  </dataValidations>
  <hyperlinks>
    <hyperlink ref="A2" location="'Table of Contents'!A1" display="Table of Contents" xr:uid="{B5972902-8FEA-4452-B6F9-2A884D8265D1}"/>
    <hyperlink ref="A3" location="'Getting Started'!A1" display="Getting Started" xr:uid="{5EBD4C42-A71B-4EA7-8279-34CF311C08F2}"/>
    <hyperlink ref="A6" location="'a. Part B Administration'!A1" display="a. Part B Administration" xr:uid="{6B393E75-4447-41A1-894D-4C75858344AE}"/>
    <hyperlink ref="A7" location="'b. Part C Administration'!A1" display="b. Part C Administration" xr:uid="{42DDA3D6-6972-40A1-B9A6-6CCE24652A38}"/>
    <hyperlink ref="A9" location="'d. PBIS and Mental Health'!A1" display="d. PBIS and Mental Health" xr:uid="{B867BDB8-9163-4D43-BCA2-14AFD1F2E581}"/>
    <hyperlink ref="A10" location="'e. Personnel Shortages'!A1" display="e. Personnel Shortages" xr:uid="{6942C3E0-F874-43B3-9C83-2F8ECF51F40E}"/>
    <hyperlink ref="A8" location="'c. Support and Direct Services'!A1" display="c. Support and Direct Services" xr:uid="{5C9BF87A-6471-475D-9CF1-114680B9B9A9}"/>
    <hyperlink ref="A11" location="'f. Capacity Building'!A1" display="f. Capacity Building" xr:uid="{7BF6FD9C-867B-45F0-B316-240186BCAC0D}"/>
    <hyperlink ref="A12" location="'g. Joint Part C Policy'!A1" display="g. Joint Part C Policy" xr:uid="{211CA855-2CAA-4475-BB6D-DCA4EFF0F3D4}"/>
    <hyperlink ref="A14" location="'h. Monitoring and Enforcement'!A1" display="h. Monitoring and Enforcement" xr:uid="{2567235A-31EB-4FF7-A586-909D3157422D}"/>
    <hyperlink ref="A15" location="'i. Mediation Process'!A1" display="i. Mediation Process" xr:uid="{97291699-05C1-4791-9EEC-20C502C09634}"/>
    <hyperlink ref="A16" location="'j. Support and Direct Services'!A1" display="j. Support and Direct Services" xr:uid="{2B6B08E1-384A-42E9-8568-178F4377E6AD}"/>
    <hyperlink ref="A17" location="'k. PBIS and Mental Health'!A1" display="k. PBIS and Mental Health" xr:uid="{593D2C69-AEC9-45FC-AA1F-BFE6C0344F89}"/>
    <hyperlink ref="A18" location="'l. Personnel Shortages'!A1" display="l. Personnel Shortages" xr:uid="{E8FB352C-2BA7-45D2-BC6B-451A59A0702F}"/>
    <hyperlink ref="A19" location="'m. Capacity Building'!A1" display="m. Capacity Building" xr:uid="{FF6EEB76-DB74-4D51-807A-97127703D3FB}"/>
    <hyperlink ref="A20" location="'n. Paperwork Reduction'!A1" display="n. Paperwork Reduction" xr:uid="{966C4D9E-B6CE-455C-8DE3-69A215CF9CAC}"/>
    <hyperlink ref="A21" location="'o. Improve Tech Use in Class'!A1" display="o. Improve Tech Use in Class" xr:uid="{07D0D2DD-79AA-4EA5-AC5F-A3C400CBA34C}"/>
    <hyperlink ref="A22" location="'p. Technology for Access'!A1" display="p. Technology for Access" xr:uid="{98285EFE-DEA9-42BD-B167-F94D040E50A6}"/>
    <hyperlink ref="A23" location="'q. Transition Programs'!A1" display="q. Transition Programs" xr:uid="{2931C2D6-0FC8-4A9D-94D0-CB22CC6548E5}"/>
    <hyperlink ref="A24" location="'r. Alternative Programming'!A1" display="r. Alternative Programming" xr:uid="{53F0BFAF-6EED-4AE3-8B92-5CB07C6EE692}"/>
    <hyperlink ref="A26" location="'t. TA for Acad Achievement'!A1" display="t. TA for Acad Achievement" xr:uid="{43687390-BDFC-4A94-A895-BFE77C6A7AE1}"/>
    <hyperlink ref="A27" location="'u-v. High Cost Fund'!A1" display="u-v. High Cost Fund" xr:uid="{D7FA15E5-92FD-498A-ACB5-DF021426A08A}"/>
    <hyperlink ref="A4" location="'State Set-Aside Overview'!A1" display="State Set-Aside Overview" xr:uid="{6026A89B-4E86-4E7D-B5C3-FB1C0BD41698}"/>
    <hyperlink ref="A25" location="'s. Accom and Alt Assessments'!A1" display="s. Accom and Alt Assessments" xr:uid="{BE7107A0-731E-4D6D-968F-42D688924ED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25961F57-F721-4FA2-9972-30E9BFB7A617}">
            <xm:f>'Getting Started'!$D$14="No"</xm:f>
            <x14:dxf>
              <fill>
                <patternFill>
                  <bgColor theme="1"/>
                </patternFill>
              </fill>
            </x14:dxf>
          </x14:cfRule>
          <xm:sqref>E4:E24</xm:sqref>
        </x14:conditionalFormatting>
        <x14:conditionalFormatting xmlns:xm="http://schemas.microsoft.com/office/excel/2006/main">
          <x14:cfRule type="expression" priority="2" id="{7420DFCE-81FB-4A89-86E3-A9D34F7B6512}">
            <xm:f>'Getting Started'!$D$15="No"</xm:f>
            <x14:dxf>
              <fill>
                <patternFill>
                  <bgColor theme="1"/>
                </patternFill>
              </fill>
            </x14:dxf>
          </x14:cfRule>
          <xm:sqref>H4:H24</xm:sqref>
        </x14:conditionalFormatting>
        <x14:conditionalFormatting xmlns:xm="http://schemas.microsoft.com/office/excel/2006/main">
          <x14:cfRule type="expression" priority="3" id="{7EFD278C-1091-41FB-83F5-BCA2EE2E0EEB}">
            <xm:f>'Getting Started'!$D$16="No"</xm:f>
            <x14:dxf>
              <fill>
                <patternFill>
                  <bgColor theme="1"/>
                </patternFill>
              </fill>
            </x14:dxf>
          </x14:cfRule>
          <xm:sqref>I4:I24</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206</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240000</v>
      </c>
      <c r="E4" s="38">
        <f>IF('Getting Started'!D$14="Yes",D4,"")</f>
        <v>240000</v>
      </c>
      <c r="F4" s="17">
        <v>133000</v>
      </c>
      <c r="G4" s="39">
        <f>IF('Getting Started'!D$14="No",D4-F4,IF('Getting Started'!D$14="Yes",E4-F4,""))</f>
        <v>107000</v>
      </c>
      <c r="H4" s="60">
        <f>IF('Getting Started'!D$15="Yes",G4,"")</f>
        <v>107000</v>
      </c>
      <c r="I4" s="61">
        <f>IF('Getting Started'!D$16="Yes",H4,"")</f>
        <v>107000</v>
      </c>
      <c r="J4" s="62">
        <v>107000</v>
      </c>
      <c r="K4" s="39">
        <f>IF('Getting Started'!D$15="No","",IF('Getting Started'!D$16="No",H4-J4,IF('Getting Started'!D$16="Yes",I4-J4,"")))</f>
        <v>0</v>
      </c>
      <c r="L4" s="63"/>
      <c r="M4" s="39">
        <f>IF('Getting Started'!D$15="No","",K4-L4)</f>
        <v>0</v>
      </c>
    </row>
    <row r="5" spans="1:13" x14ac:dyDescent="0.35">
      <c r="A5" s="95" t="s">
        <v>66</v>
      </c>
      <c r="C5" s="64" t="s">
        <v>207</v>
      </c>
      <c r="D5" s="16">
        <v>123000</v>
      </c>
      <c r="E5" s="38">
        <f>IF('Getting Started'!D$14="Yes",D5,"")</f>
        <v>123000</v>
      </c>
      <c r="F5" s="17">
        <v>66000</v>
      </c>
      <c r="G5" s="39">
        <f>IF('Getting Started'!D$14="No",D5-F5,IF('Getting Started'!D$14="Yes",E5-F5,""))</f>
        <v>57000</v>
      </c>
      <c r="H5" s="60">
        <f>IF('Getting Started'!D$15="Yes",G5,"")</f>
        <v>57000</v>
      </c>
      <c r="I5" s="61">
        <f>IF('Getting Started'!D$16="Yes",H5,"")</f>
        <v>57000</v>
      </c>
      <c r="J5" s="62">
        <v>57000</v>
      </c>
      <c r="K5" s="39">
        <f>IF('Getting Started'!D$15="No","",IF('Getting Started'!D$16="No",H5-J5,IF('Getting Started'!D$16="Yes",I5-J5,"")))</f>
        <v>0</v>
      </c>
      <c r="L5" s="63"/>
      <c r="M5" s="39">
        <f>IF('Getting Started'!D$15="No","",K5-L5)</f>
        <v>0</v>
      </c>
    </row>
    <row r="6" spans="1:13" x14ac:dyDescent="0.35">
      <c r="A6" s="78" t="s">
        <v>14</v>
      </c>
      <c r="C6" s="64" t="s">
        <v>208</v>
      </c>
      <c r="D6" s="16">
        <v>10000</v>
      </c>
      <c r="E6" s="38">
        <f>IF('Getting Started'!D$14="Yes",D6,"")</f>
        <v>10000</v>
      </c>
      <c r="F6" s="17">
        <v>4800</v>
      </c>
      <c r="G6" s="39">
        <f>IF('Getting Started'!D$14="No",D6-F6,IF('Getting Started'!D$14="Yes",E6-F6,""))</f>
        <v>5200</v>
      </c>
      <c r="H6" s="60">
        <f>IF('Getting Started'!D$15="Yes",G6,"")</f>
        <v>5200</v>
      </c>
      <c r="I6" s="61">
        <f>IF('Getting Started'!D$16="Yes",H6,"")</f>
        <v>5200</v>
      </c>
      <c r="J6" s="62">
        <v>5200</v>
      </c>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373000</v>
      </c>
      <c r="E24" s="41">
        <f>IF('Getting Started'!D14="No","",SUM(E4:E23))</f>
        <v>373000</v>
      </c>
      <c r="F24" s="41">
        <f t="shared" ref="F24:G24" si="0">SUM(F4:F23)</f>
        <v>203800</v>
      </c>
      <c r="G24" s="39">
        <f t="shared" si="0"/>
        <v>169200</v>
      </c>
      <c r="H24" s="41">
        <f>IF('Getting Started'!D15="No","",SUM(H4:H23))</f>
        <v>169200</v>
      </c>
      <c r="I24" s="41">
        <f>IF('Getting Started'!D16="No","",SUM(I4:I23))</f>
        <v>169200</v>
      </c>
      <c r="J24" s="39">
        <f t="shared" ref="J24:M24" si="1">SUM(J4:J23)</f>
        <v>169200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LlrukkU44SFvyFPrd6aYqWZ0xmoAf3yv2TYgXFn9yFtXog6YIIfWa1p5OsNxWosKaJjAWx+81xKe91j7zOst8w==" saltValue="hr0aJJDxohIMB6FrGtSTDA==" spinCount="100000" sheet="1" objects="1" scenarios="1"/>
  <mergeCells count="1">
    <mergeCell ref="A28:N28"/>
  </mergeCells>
  <conditionalFormatting sqref="G4:G24 K4:K24 M4:M24">
    <cfRule type="cellIs" dxfId="17" priority="1" operator="lessThan">
      <formula>0</formula>
    </cfRule>
  </conditionalFormatting>
  <dataValidations count="3">
    <dataValidation allowBlank="1" showInputMessage="1" showErrorMessage="1" prompt="To create a revised budget, select &quot;Yes&quot; in cell D14 on the Getting Started tab." sqref="E4" xr:uid="{1659F350-DF60-4FE7-B793-D09CAC0AF5D4}"/>
    <dataValidation allowBlank="1" showInputMessage="1" showErrorMessage="1" prompt="To create a Tydings Period budget, select “Yes” in cell D15 on the Getting Started tab." sqref="H4" xr:uid="{3184BEC0-A99A-455D-95C1-F2105B31AD1C}"/>
    <dataValidation allowBlank="1" showInputMessage="1" showErrorMessage="1" prompt="To create a revised Tydings Period budget, select “Yes” in cell D16 on the Getting Started tab." sqref="I4" xr:uid="{4AB5DC3F-FE5B-4359-8F9B-56E149C0B7D6}"/>
  </dataValidations>
  <hyperlinks>
    <hyperlink ref="A2" location="'Table of Contents'!A1" display="Table of Contents" xr:uid="{1CE4380F-E408-4E65-AD01-15D4EA598CEF}"/>
    <hyperlink ref="A3" location="'Getting Started'!A1" display="Getting Started" xr:uid="{E7178764-D4C3-4506-A9A6-0E1DF04588A3}"/>
    <hyperlink ref="A6" location="'a. Part B Administration'!A1" display="a. Part B Administration" xr:uid="{F4C9D8EC-D904-4FBA-A71A-FBCDB60215C6}"/>
    <hyperlink ref="A7" location="'b. Part C Administration'!A1" display="b. Part C Administration" xr:uid="{F2606D58-58F0-4F0C-B3E4-006844403DC6}"/>
    <hyperlink ref="A9" location="'d. PBIS and Mental Health'!A1" display="d. PBIS and Mental Health" xr:uid="{4DAA11CC-42EF-439E-931B-9D2722EA55E1}"/>
    <hyperlink ref="A10" location="'e. Personnel Shortages'!A1" display="e. Personnel Shortages" xr:uid="{2EA63CDD-2043-4E8A-AEDA-9050F2E5A36D}"/>
    <hyperlink ref="A8" location="'c. Support and Direct Services'!A1" display="c. Support and Direct Services" xr:uid="{7F573303-9F04-48A4-811D-4810CEA1F659}"/>
    <hyperlink ref="A11" location="'f. Capacity Building'!A1" display="f. Capacity Building" xr:uid="{2C98F133-1C19-4A39-B107-E56BD7DED881}"/>
    <hyperlink ref="A12" location="'g. Joint Part C Policy'!A1" display="g. Joint Part C Policy" xr:uid="{D240FB12-91B8-4830-A334-F58154341C72}"/>
    <hyperlink ref="A14" location="'h. Monitoring and Enforcement'!A1" display="h. Monitoring and Enforcement" xr:uid="{0A278439-AB7B-44FC-9B44-2BCFE21C9C78}"/>
    <hyperlink ref="A15" location="'i. Mediation Process'!A1" display="i. Mediation Process" xr:uid="{AC32824F-9A7F-4B66-BAD7-662AF2C25A72}"/>
    <hyperlink ref="A16" location="'j. Support and Direct Services'!A1" display="j. Support and Direct Services" xr:uid="{81D7CF29-E400-417B-8A6E-B6B0AE01BD98}"/>
    <hyperlink ref="A17" location="'k. PBIS and Mental Health'!A1" display="k. PBIS and Mental Health" xr:uid="{5F54B837-ABCC-482E-83F5-CE58AD70AA45}"/>
    <hyperlink ref="A18" location="'l. Personnel Shortages'!A1" display="l. Personnel Shortages" xr:uid="{C3E5B06C-70B3-4CE9-8140-FF375386F38E}"/>
    <hyperlink ref="A19" location="'m. Capacity Building'!A1" display="m. Capacity Building" xr:uid="{9D55CAAB-0DF6-4D30-8A12-0CD91E9191CF}"/>
    <hyperlink ref="A20" location="'n. Paperwork Reduction'!A1" display="n. Paperwork Reduction" xr:uid="{67480BB1-3712-49EF-AF1E-761798DE74B9}"/>
    <hyperlink ref="A21" location="'o. Improve Tech Use in Class'!A1" display="o. Improve Tech Use in Class" xr:uid="{D4F6B740-779D-412A-9A7E-B4F7E1C54677}"/>
    <hyperlink ref="A22" location="'p. Technology for Access'!A1" display="p. Technology for Access" xr:uid="{B8466F72-2CC8-438C-8FAE-ED77D7090AE1}"/>
    <hyperlink ref="A23" location="'q. Transition Programs'!A1" display="q. Transition Programs" xr:uid="{FFDFF37B-0AF7-4CB3-813A-AB985C805575}"/>
    <hyperlink ref="A24" location="'r. Alternative Programming'!A1" display="r. Alternative Programming" xr:uid="{80909584-16C0-43AB-8FFF-DD268808A17D}"/>
    <hyperlink ref="A26" location="'t. TA for Acad Achievement'!A1" display="t. TA for Acad Achievement" xr:uid="{7EE6FEE7-3007-467A-8187-6C88676DE9A1}"/>
    <hyperlink ref="A27" location="'u-v. High Cost Fund'!A1" display="u-v. High Cost Fund" xr:uid="{AF0EC0D5-1050-45A6-8109-7E07898A7A08}"/>
    <hyperlink ref="A4" location="'State Set-Aside Overview'!A1" display="State Set-Aside Overview" xr:uid="{4C924685-A5FC-42C1-BBB7-377699544E5B}"/>
    <hyperlink ref="A25" location="'s. Accom and Alt Assessments'!A1" display="s. Accom and Alt Assessments" xr:uid="{44EA28E1-A65D-4DBB-9F79-819C2669E6E3}"/>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E3D30C0A-2B15-4977-954C-F960CD3AFC16}">
            <xm:f>'Getting Started'!$D$14="No"</xm:f>
            <x14:dxf>
              <fill>
                <patternFill>
                  <bgColor theme="1"/>
                </patternFill>
              </fill>
            </x14:dxf>
          </x14:cfRule>
          <xm:sqref>E4:E24</xm:sqref>
        </x14:conditionalFormatting>
        <x14:conditionalFormatting xmlns:xm="http://schemas.microsoft.com/office/excel/2006/main">
          <x14:cfRule type="expression" priority="2" id="{DB0F436A-BE78-45C8-9795-8422C8B01F27}">
            <xm:f>'Getting Started'!$D$15="No"</xm:f>
            <x14:dxf>
              <fill>
                <patternFill>
                  <bgColor theme="1"/>
                </patternFill>
              </fill>
            </x14:dxf>
          </x14:cfRule>
          <xm:sqref>H4:H24</xm:sqref>
        </x14:conditionalFormatting>
        <x14:conditionalFormatting xmlns:xm="http://schemas.microsoft.com/office/excel/2006/main">
          <x14:cfRule type="expression" priority="3" id="{EA6AE55E-0FC6-4FA2-95FC-4B3098191BC5}">
            <xm:f>'Getting Started'!$D$16="No"</xm:f>
            <x14:dxf>
              <fill>
                <patternFill>
                  <bgColor theme="1"/>
                </patternFill>
              </fill>
            </x14:dxf>
          </x14:cfRule>
          <xm:sqref>I4:I24</xm:sqref>
        </x14:conditionalFormatting>
      </x14:conditionalFormatting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67" t="s">
        <v>209</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210</v>
      </c>
      <c r="D4" s="16">
        <v>704546</v>
      </c>
      <c r="E4" s="38">
        <f>IF('Getting Started'!D$14="Yes",D4,"")</f>
        <v>704546</v>
      </c>
      <c r="F4" s="17">
        <v>550000</v>
      </c>
      <c r="G4" s="39">
        <f>IF('Getting Started'!D$14="No",D4-F4,IF('Getting Started'!D$14="Yes",E4-F4,""))</f>
        <v>154546</v>
      </c>
      <c r="H4" s="60">
        <f>IF('Getting Started'!D$15="Yes",G4,"")</f>
        <v>154546</v>
      </c>
      <c r="I4" s="61">
        <f>IF('Getting Started'!D$16="Yes",H4,"")</f>
        <v>154546</v>
      </c>
      <c r="J4" s="62">
        <v>115000</v>
      </c>
      <c r="K4" s="39">
        <f>IF('Getting Started'!D$15="No","",IF('Getting Started'!D$16="No",H4-J4,IF('Getting Started'!D$16="Yes",I4-J4,"")))</f>
        <v>39546</v>
      </c>
      <c r="L4" s="63">
        <v>39546</v>
      </c>
      <c r="M4" s="39">
        <f>IF('Getting Started'!D$15="No","",K4-L4)</f>
        <v>0</v>
      </c>
    </row>
    <row r="5" spans="1:13" x14ac:dyDescent="0.35">
      <c r="A5" s="95" t="s">
        <v>66</v>
      </c>
      <c r="C5" s="64" t="s">
        <v>211</v>
      </c>
      <c r="D5" s="16">
        <v>474676</v>
      </c>
      <c r="E5" s="38">
        <f>IF('Getting Started'!D$14="Yes",D5,"")</f>
        <v>474676</v>
      </c>
      <c r="F5" s="17">
        <v>362000</v>
      </c>
      <c r="G5" s="39">
        <f>IF('Getting Started'!D$14="No",D5-F5,IF('Getting Started'!D$14="Yes",E5-F5,""))</f>
        <v>112676</v>
      </c>
      <c r="H5" s="60">
        <f>IF('Getting Started'!D$15="Yes",G5,"")</f>
        <v>112676</v>
      </c>
      <c r="I5" s="61">
        <f>IF('Getting Started'!D$16="Yes",H5,"")</f>
        <v>112676</v>
      </c>
      <c r="J5" s="62">
        <v>112676</v>
      </c>
      <c r="K5" s="39">
        <f>IF('Getting Started'!D$15="No","",IF('Getting Started'!D$16="No",H5-J5,IF('Getting Started'!D$16="Yes",I5-J5,"")))</f>
        <v>0</v>
      </c>
      <c r="L5" s="63"/>
      <c r="M5" s="39">
        <f>IF('Getting Started'!D$15="No","",K5-L5)</f>
        <v>0</v>
      </c>
    </row>
    <row r="6" spans="1:13" x14ac:dyDescent="0.35">
      <c r="A6" s="78" t="s">
        <v>14</v>
      </c>
      <c r="C6" s="64" t="s">
        <v>181</v>
      </c>
      <c r="D6" s="16">
        <v>368000</v>
      </c>
      <c r="E6" s="38">
        <f>IF('Getting Started'!D$14="Yes",D6,"")</f>
        <v>368000</v>
      </c>
      <c r="F6" s="17">
        <v>173000</v>
      </c>
      <c r="G6" s="39">
        <f>IF('Getting Started'!D$14="No",D6-F6,IF('Getting Started'!D$14="Yes",E6-F6,""))</f>
        <v>195000</v>
      </c>
      <c r="H6" s="60">
        <f>IF('Getting Started'!D$15="Yes",G6,"")</f>
        <v>195000</v>
      </c>
      <c r="I6" s="61">
        <f>IF('Getting Started'!D$16="Yes",H6,"")</f>
        <v>195000</v>
      </c>
      <c r="J6" s="62">
        <v>103000</v>
      </c>
      <c r="K6" s="39">
        <f>IF('Getting Started'!D$15="No","",IF('Getting Started'!D$16="No",H6-J6,IF('Getting Started'!D$16="Yes",I6-J6,"")))</f>
        <v>92000</v>
      </c>
      <c r="L6" s="63">
        <v>92000</v>
      </c>
      <c r="M6" s="39">
        <f>IF('Getting Started'!D$15="No","",K6-L6)</f>
        <v>0</v>
      </c>
    </row>
    <row r="7" spans="1:13" x14ac:dyDescent="0.35">
      <c r="A7" s="78" t="s">
        <v>16</v>
      </c>
      <c r="C7" s="64" t="s">
        <v>207</v>
      </c>
      <c r="D7" s="16">
        <v>241483</v>
      </c>
      <c r="E7" s="38">
        <f>IF('Getting Started'!D$14="Yes",D7,"")</f>
        <v>241483</v>
      </c>
      <c r="F7" s="17">
        <v>198500</v>
      </c>
      <c r="G7" s="39">
        <f>IF('Getting Started'!D$14="No",D7-F7,IF('Getting Started'!D$14="Yes",E7-F7,""))</f>
        <v>42983</v>
      </c>
      <c r="H7" s="60">
        <f>IF('Getting Started'!D$15="Yes",G7,"")</f>
        <v>42983</v>
      </c>
      <c r="I7" s="61">
        <f>IF('Getting Started'!D$16="Yes",H7,"")</f>
        <v>42983</v>
      </c>
      <c r="J7" s="62">
        <v>42983</v>
      </c>
      <c r="K7" s="39">
        <f>IF('Getting Started'!D$15="No","",IF('Getting Started'!D$16="No",H7-J7,IF('Getting Started'!D$16="Yes",I7-J7,"")))</f>
        <v>0</v>
      </c>
      <c r="L7" s="63"/>
      <c r="M7" s="39">
        <f>IF('Getting Started'!D$15="No","",K7-L7)</f>
        <v>0</v>
      </c>
    </row>
    <row r="8" spans="1:13" x14ac:dyDescent="0.35">
      <c r="A8" s="78" t="s">
        <v>18</v>
      </c>
      <c r="C8" s="64" t="s">
        <v>182</v>
      </c>
      <c r="D8" s="16">
        <v>110000</v>
      </c>
      <c r="E8" s="38">
        <f>IF('Getting Started'!D$14="Yes",D8,"")</f>
        <v>110000</v>
      </c>
      <c r="F8" s="17">
        <v>65000</v>
      </c>
      <c r="G8" s="39">
        <f>IF('Getting Started'!D$14="No",D8-F8,IF('Getting Started'!D$14="Yes",E8-F8,""))</f>
        <v>45000</v>
      </c>
      <c r="H8" s="60">
        <f>IF('Getting Started'!D$15="Yes",G8,"")</f>
        <v>45000</v>
      </c>
      <c r="I8" s="61">
        <f>IF('Getting Started'!D$16="Yes",H8,"")</f>
        <v>45000</v>
      </c>
      <c r="J8" s="62">
        <v>45000</v>
      </c>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1898705</v>
      </c>
      <c r="E24" s="41">
        <f>IF('Getting Started'!D14="No","",SUM(E4:E23))</f>
        <v>1898705</v>
      </c>
      <c r="F24" s="41">
        <f t="shared" ref="F24:G24" si="0">SUM(F4:F23)</f>
        <v>1348500</v>
      </c>
      <c r="G24" s="39">
        <f t="shared" si="0"/>
        <v>550205</v>
      </c>
      <c r="H24" s="41">
        <f>IF('Getting Started'!D15="No","",SUM(H4:H23))</f>
        <v>550205</v>
      </c>
      <c r="I24" s="41">
        <f>IF('Getting Started'!D16="No","",SUM(I4:I23))</f>
        <v>550205</v>
      </c>
      <c r="J24" s="39">
        <f t="shared" ref="J24:M24" si="1">SUM(J4:J23)</f>
        <v>418659</v>
      </c>
      <c r="K24" s="39">
        <f t="shared" si="1"/>
        <v>131546</v>
      </c>
      <c r="L24" s="15">
        <f t="shared" si="1"/>
        <v>131546</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wjh9dwd62XpGTCQcEZEduk1af8WeWoJDqW/peaRiHUAp4HVq+3L94tF2B9MTgrMZI96+Q10q9fx+Asn1RBSHkA==" saltValue="rkqH4cxzZNoXP6qc2Q0kpA==" spinCount="100000" sheet="1" objects="1" scenarios="1"/>
  <mergeCells count="1">
    <mergeCell ref="A28:N28"/>
  </mergeCells>
  <conditionalFormatting sqref="G4:G24 K4:K24 M4:M24">
    <cfRule type="cellIs" dxfId="13" priority="1" operator="lessThan">
      <formula>0</formula>
    </cfRule>
  </conditionalFormatting>
  <dataValidations count="3">
    <dataValidation allowBlank="1" showInputMessage="1" showErrorMessage="1" prompt="To create a revised budget, select &quot;Yes&quot; in cell D14 on the Getting Started tab." sqref="E4" xr:uid="{BFB17FC1-7D10-4404-AD21-C01B720553C5}"/>
    <dataValidation allowBlank="1" showInputMessage="1" showErrorMessage="1" prompt="To create a Tydings Period budget, select “Yes” in cell D15 on the Getting Started tab." sqref="H4" xr:uid="{42BC186F-8D47-400E-B87C-F48008E1F62A}"/>
    <dataValidation allowBlank="1" showInputMessage="1" showErrorMessage="1" prompt="To create a revised Tydings Period budget, select “Yes” in cell D16 on the Getting Started tab." sqref="I4" xr:uid="{8EBE64E7-49C0-4508-8E46-19F88F1DD04B}"/>
  </dataValidations>
  <hyperlinks>
    <hyperlink ref="A2" location="'Table of Contents'!A1" display="Table of Contents" xr:uid="{09739834-3641-418B-B762-AC37D801129D}"/>
    <hyperlink ref="A3" location="'Getting Started'!A1" display="Getting Started" xr:uid="{E2DACA07-036E-44BC-B1D8-1F09056299C6}"/>
    <hyperlink ref="A6" location="'a. Part B Administration'!A1" display="a. Part B Administration" xr:uid="{D09F19CA-6A1B-428A-88FD-217F63D9502C}"/>
    <hyperlink ref="A7" location="'b. Part C Administration'!A1" display="b. Part C Administration" xr:uid="{26AD8E0B-3DBC-4539-A031-ACBFBF1531CF}"/>
    <hyperlink ref="A9" location="'d. PBIS and Mental Health'!A1" display="d. PBIS and Mental Health" xr:uid="{F037D7ED-3A0A-4522-8E9C-75D96D1790F5}"/>
    <hyperlink ref="A10" location="'e. Personnel Shortages'!A1" display="e. Personnel Shortages" xr:uid="{302250DB-D194-4364-A152-B93E7F5CF485}"/>
    <hyperlink ref="A8" location="'c. Support and Direct Services'!A1" display="c. Support and Direct Services" xr:uid="{14F34FE0-DFBC-4674-AAFA-B84EE90F606A}"/>
    <hyperlink ref="A11" location="'f. Capacity Building'!A1" display="f. Capacity Building" xr:uid="{E7C86417-5349-4B51-A604-B64E1B0DE47E}"/>
    <hyperlink ref="A12" location="'g. Joint Part C Policy'!A1" display="g. Joint Part C Policy" xr:uid="{80D1776C-8B98-4F13-94EB-51C90F7C17AC}"/>
    <hyperlink ref="A14" location="'h. Monitoring and Enforcement'!A1" display="h. Monitoring and Enforcement" xr:uid="{B2B8E19E-D081-4134-AF0F-8D037118CA37}"/>
    <hyperlink ref="A15" location="'i. Mediation Process'!A1" display="i. Mediation Process" xr:uid="{F53C03EE-5CDC-4A22-9204-FFB4BA405951}"/>
    <hyperlink ref="A16" location="'j. Support and Direct Services'!A1" display="j. Support and Direct Services" xr:uid="{E4A2939F-3DA0-42ED-96C7-26E868541ABC}"/>
    <hyperlink ref="A17" location="'k. PBIS and Mental Health'!A1" display="k. PBIS and Mental Health" xr:uid="{EA2BD78C-F13D-444B-A318-C8135E41E914}"/>
    <hyperlink ref="A18" location="'l. Personnel Shortages'!A1" display="l. Personnel Shortages" xr:uid="{E0DC625B-9D80-4735-A29E-93C795B64291}"/>
    <hyperlink ref="A19" location="'m. Capacity Building'!A1" display="m. Capacity Building" xr:uid="{E1456696-A1A9-4D7B-A360-52E39C7284D0}"/>
    <hyperlink ref="A20" location="'n. Paperwork Reduction'!A1" display="n. Paperwork Reduction" xr:uid="{7F17BB81-ADDB-4A0F-88C0-A4DFDA546D02}"/>
    <hyperlink ref="A21" location="'o. Improve Tech Use in Class'!A1" display="o. Improve Tech Use in Class" xr:uid="{7A62BFC2-DFAD-4E0A-A65F-1514EC280350}"/>
    <hyperlink ref="A22" location="'p. Technology for Access'!A1" display="p. Technology for Access" xr:uid="{E7D8A34F-651E-47FE-B564-9E488FE87E90}"/>
    <hyperlink ref="A23" location="'q. Transition Programs'!A1" display="q. Transition Programs" xr:uid="{8B05D7F3-CB0F-4455-A45F-DBC9893EDDCF}"/>
    <hyperlink ref="A24" location="'r. Alternative Programming'!A1" display="r. Alternative Programming" xr:uid="{C603D212-5F6B-4CF9-90E5-486995C68A1A}"/>
    <hyperlink ref="A26" location="'t. TA for Acad Achievement'!A1" display="t. TA for Acad Achievement" xr:uid="{205732A5-EE11-4E42-BAA8-74DA35D0FCB2}"/>
    <hyperlink ref="A27" location="'u-v. High Cost Fund'!A1" display="u-v. High Cost Fund" xr:uid="{C45DE358-2022-4BFE-9F6D-57E3B74EE210}"/>
    <hyperlink ref="A4" location="'State Set-Aside Overview'!A1" display="State Set-Aside Overview" xr:uid="{074BC4EF-F658-4887-87A1-24E20567C2ED}"/>
    <hyperlink ref="A25" location="'s. Accom and Alt Assessments'!A1" display="s. Accom and Alt Assessments" xr:uid="{19DBD06F-8BCA-4385-8F2A-303B15D11296}"/>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4E0F5F35-D207-48EB-A251-D71000718B82}">
            <xm:f>'Getting Started'!$D$14="No"</xm:f>
            <x14:dxf>
              <fill>
                <patternFill>
                  <bgColor theme="1"/>
                </patternFill>
              </fill>
            </x14:dxf>
          </x14:cfRule>
          <xm:sqref>E4:E24</xm:sqref>
        </x14:conditionalFormatting>
        <x14:conditionalFormatting xmlns:xm="http://schemas.microsoft.com/office/excel/2006/main">
          <x14:cfRule type="expression" priority="2" id="{C2D0673C-EE85-4ADD-B01E-5F1A9AD0F233}">
            <xm:f>'Getting Started'!$D$15="No"</xm:f>
            <x14:dxf>
              <fill>
                <patternFill>
                  <bgColor theme="1"/>
                </patternFill>
              </fill>
            </x14:dxf>
          </x14:cfRule>
          <xm:sqref>H4:H24</xm:sqref>
        </x14:conditionalFormatting>
        <x14:conditionalFormatting xmlns:xm="http://schemas.microsoft.com/office/excel/2006/main">
          <x14:cfRule type="expression" priority="3" id="{A02AF339-2E4F-4D08-8A90-30CC81BFAE58}">
            <xm:f>'Getting Started'!$D$16="No"</xm:f>
            <x14:dxf>
              <fill>
                <patternFill>
                  <bgColor theme="1"/>
                </patternFill>
              </fill>
            </x14:dxf>
          </x14:cfRule>
          <xm:sqref>I4:I24</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212</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3842000</v>
      </c>
      <c r="E4" s="38">
        <f>IF('Getting Started'!D$14="Yes",D4,"")</f>
        <v>3842000</v>
      </c>
      <c r="F4" s="17">
        <v>1256550</v>
      </c>
      <c r="G4" s="39">
        <f>IF('Getting Started'!D$14="No",D4-F4,IF('Getting Started'!D$14="Yes",E4-F4,""))</f>
        <v>2585450</v>
      </c>
      <c r="H4" s="60">
        <f>IF('Getting Started'!D$15="Yes",G4,"")</f>
        <v>2585450</v>
      </c>
      <c r="I4" s="61">
        <f>IF('Getting Started'!D$16="Yes",H4,"")</f>
        <v>2585450</v>
      </c>
      <c r="J4" s="62">
        <v>2585450</v>
      </c>
      <c r="K4" s="39">
        <f>IF('Getting Started'!D$15="No","",IF('Getting Started'!D$16="No",H4-J4,IF('Getting Started'!D$16="Yes",I4-J4,"")))</f>
        <v>0</v>
      </c>
      <c r="L4" s="63"/>
      <c r="M4" s="39">
        <f>IF('Getting Started'!D$15="No","",K4-L4)</f>
        <v>0</v>
      </c>
    </row>
    <row r="5" spans="1:13" x14ac:dyDescent="0.35">
      <c r="A5" s="95" t="s">
        <v>66</v>
      </c>
      <c r="C5" s="64" t="s">
        <v>182</v>
      </c>
      <c r="D5" s="16">
        <v>90000</v>
      </c>
      <c r="E5" s="38">
        <f>IF('Getting Started'!D$14="Yes",D5,"")</f>
        <v>90000</v>
      </c>
      <c r="F5" s="17">
        <v>26000</v>
      </c>
      <c r="G5" s="39">
        <f>IF('Getting Started'!D$14="No",D5-F5,IF('Getting Started'!D$14="Yes",E5-F5,""))</f>
        <v>64000</v>
      </c>
      <c r="H5" s="60">
        <f>IF('Getting Started'!D$15="Yes",G5,"")</f>
        <v>64000</v>
      </c>
      <c r="I5" s="61">
        <f>IF('Getting Started'!D$16="Yes",H5,"")</f>
        <v>64000</v>
      </c>
      <c r="J5" s="62">
        <v>64000</v>
      </c>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3932000</v>
      </c>
      <c r="E24" s="41">
        <f>IF('Getting Started'!D14="No","",SUM(E4:E23))</f>
        <v>3932000</v>
      </c>
      <c r="F24" s="41">
        <f t="shared" ref="F24:G24" si="0">SUM(F4:F23)</f>
        <v>1282550</v>
      </c>
      <c r="G24" s="39">
        <f t="shared" si="0"/>
        <v>2649450</v>
      </c>
      <c r="H24" s="41">
        <f>IF('Getting Started'!D15="No","",SUM(H4:H23))</f>
        <v>2649450</v>
      </c>
      <c r="I24" s="41">
        <f>IF('Getting Started'!D16="No","",SUM(I4:I23))</f>
        <v>2649450</v>
      </c>
      <c r="J24" s="39">
        <f t="shared" ref="J24:M24" si="1">SUM(J4:J23)</f>
        <v>2649450</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2Itp4arRbSdIW43584UVaezIK38K1NgoXYTUgtolQRT3xJouCyMCpYb25f674W8XP0I4b8qRiG1DfEEh41qStg==" saltValue="1R3ocj+3jEaLOH8p7jyC7w==" spinCount="100000" sheet="1" objects="1" scenarios="1"/>
  <mergeCells count="1">
    <mergeCell ref="A28:N28"/>
  </mergeCells>
  <conditionalFormatting sqref="G4:G24 K4:K24 M4:M24">
    <cfRule type="cellIs" dxfId="9" priority="1" operator="lessThan">
      <formula>0</formula>
    </cfRule>
  </conditionalFormatting>
  <dataValidations count="3">
    <dataValidation allowBlank="1" showInputMessage="1" showErrorMessage="1" prompt="To create a revised budget, select &quot;Yes&quot; in cell D14 on the Getting Started tab." sqref="E4" xr:uid="{5DC563D8-993A-4EF9-BCC7-68130A6C036B}"/>
    <dataValidation allowBlank="1" showInputMessage="1" showErrorMessage="1" prompt="To create a Tydings Period budget, select “Yes” in cell D15 on the Getting Started tab." sqref="H4" xr:uid="{64844FD5-4630-41C0-9B56-3516D2F3277F}"/>
    <dataValidation allowBlank="1" showInputMessage="1" showErrorMessage="1" prompt="To create a revised Tydings Period budget, select “Yes” in cell D16 on the Getting Started tab." sqref="I4" xr:uid="{435E7644-55EC-4A72-9FB1-E5678154E035}"/>
  </dataValidations>
  <hyperlinks>
    <hyperlink ref="A2" location="'Table of Contents'!A1" display="Table of Contents" xr:uid="{8682F501-8F5F-44B3-84C5-67C1BA36F628}"/>
    <hyperlink ref="A3" location="'Getting Started'!A1" display="Getting Started" xr:uid="{39D02CC4-4CB9-4ACD-96DF-06443880B48D}"/>
    <hyperlink ref="A6" location="'a. Part B Administration'!A1" display="a. Part B Administration" xr:uid="{58256A9C-D0D0-4912-ADAD-E61B5630B2C5}"/>
    <hyperlink ref="A7" location="'b. Part C Administration'!A1" display="b. Part C Administration" xr:uid="{5BC18C1F-70BF-405D-8050-4399F2A8EC68}"/>
    <hyperlink ref="A9" location="'d. PBIS and Mental Health'!A1" display="d. PBIS and Mental Health" xr:uid="{C38A5316-9553-42B8-B4B9-7DB2F1FE2978}"/>
    <hyperlink ref="A10" location="'e. Personnel Shortages'!A1" display="e. Personnel Shortages" xr:uid="{BC1A8F06-F2DE-452B-BC72-D6E7766D17CB}"/>
    <hyperlink ref="A8" location="'c. Support and Direct Services'!A1" display="c. Support and Direct Services" xr:uid="{21ADEBD0-C207-4AE9-B856-74453DDF39EA}"/>
    <hyperlink ref="A11" location="'f. Capacity Building'!A1" display="f. Capacity Building" xr:uid="{0922B416-C7DB-42CB-837D-9428867565F1}"/>
    <hyperlink ref="A12" location="'g. Joint Part C Policy'!A1" display="g. Joint Part C Policy" xr:uid="{648B6652-76C9-4FE9-A22F-6A98A68C1E62}"/>
    <hyperlink ref="A14" location="'h. Monitoring and Enforcement'!A1" display="h. Monitoring and Enforcement" xr:uid="{BFD7D92F-9833-4BFB-B397-3877CC109253}"/>
    <hyperlink ref="A15" location="'i. Mediation Process'!A1" display="i. Mediation Process" xr:uid="{8AAA8E16-28FA-4B0F-8261-C043E0290740}"/>
    <hyperlink ref="A16" location="'j. Support and Direct Services'!A1" display="j. Support and Direct Services" xr:uid="{3E753896-5450-46DB-8E1A-555290FFA5B5}"/>
    <hyperlink ref="A17" location="'k. PBIS and Mental Health'!A1" display="k. PBIS and Mental Health" xr:uid="{306CFD1F-7059-479C-B353-196A64AC44AF}"/>
    <hyperlink ref="A18" location="'l. Personnel Shortages'!A1" display="l. Personnel Shortages" xr:uid="{22A1CB84-062F-4CE2-A165-B73815C16726}"/>
    <hyperlink ref="A19" location="'m. Capacity Building'!A1" display="m. Capacity Building" xr:uid="{06073455-1EC5-4A1B-B80F-1538633E713D}"/>
    <hyperlink ref="A20" location="'n. Paperwork Reduction'!A1" display="n. Paperwork Reduction" xr:uid="{6F2A4C8B-E707-4ED4-8A38-35683BCFC139}"/>
    <hyperlink ref="A21" location="'o. Improve Tech Use in Class'!A1" display="o. Improve Tech Use in Class" xr:uid="{D5169B9C-B9FC-433C-864A-0FFC56F60C63}"/>
    <hyperlink ref="A22" location="'p. Technology for Access'!A1" display="p. Technology for Access" xr:uid="{95270A1A-D39F-4E08-AB2A-AE9E334829E5}"/>
    <hyperlink ref="A23" location="'q. Transition Programs'!A1" display="q. Transition Programs" xr:uid="{E33F33C6-1C52-4C9C-8FEB-0A7BD61B998A}"/>
    <hyperlink ref="A24" location="'r. Alternative Programming'!A1" display="r. Alternative Programming" xr:uid="{42C0225C-F49B-4138-B07E-95D48C1B5ECF}"/>
    <hyperlink ref="A26" location="'t. TA for Acad Achievement'!A1" display="t. TA for Acad Achievement" xr:uid="{0BD91B4D-EE63-4704-9ED8-CB96DF592F6D}"/>
    <hyperlink ref="A27" location="'u-v. High Cost Fund'!A1" display="u-v. High Cost Fund" xr:uid="{9A48D9F5-FA3C-4E8B-AA9D-25DCC2A0A6C8}"/>
    <hyperlink ref="A4" location="'State Set-Aside Overview'!A1" display="State Set-Aside Overview" xr:uid="{596EED60-98E4-480A-B318-69C260033B84}"/>
    <hyperlink ref="A25" location="'s. Accom and Alt Assessments'!A1" display="s. Accom and Alt Assessments" xr:uid="{BE23F237-998C-4447-8A9D-9868826A2C7B}"/>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8FCB511D-0B03-49CD-BC5E-0F4FE12A4948}">
            <xm:f>'Getting Started'!$D$14="No"</xm:f>
            <x14:dxf>
              <fill>
                <patternFill>
                  <bgColor theme="1"/>
                </patternFill>
              </fill>
            </x14:dxf>
          </x14:cfRule>
          <xm:sqref>E4:E24</xm:sqref>
        </x14:conditionalFormatting>
        <x14:conditionalFormatting xmlns:xm="http://schemas.microsoft.com/office/excel/2006/main">
          <x14:cfRule type="expression" priority="2" id="{935FFA19-2A99-4880-97A8-53A9069184C9}">
            <xm:f>'Getting Started'!$D$15="No"</xm:f>
            <x14:dxf>
              <fill>
                <patternFill>
                  <bgColor theme="1"/>
                </patternFill>
              </fill>
            </x14:dxf>
          </x14:cfRule>
          <xm:sqref>H4:H24</xm:sqref>
        </x14:conditionalFormatting>
        <x14:conditionalFormatting xmlns:xm="http://schemas.microsoft.com/office/excel/2006/main">
          <x14:cfRule type="expression" priority="3" id="{7BB3352D-DCC7-4D20-8043-0CC3B8678474}">
            <xm:f>'Getting Started'!$D$16="No"</xm:f>
            <x14:dxf>
              <fill>
                <patternFill>
                  <bgColor theme="1"/>
                </patternFill>
              </fill>
            </x14:dxf>
          </x14:cfRule>
          <xm:sqref>I4:I24</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tabColor theme="8"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36" customHeight="1" x14ac:dyDescent="0.35">
      <c r="A1" s="77" t="s">
        <v>57</v>
      </c>
      <c r="C1" s="67" t="s">
        <v>213</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181</v>
      </c>
      <c r="D4" s="16">
        <v>3800000</v>
      </c>
      <c r="E4" s="38">
        <f>IF('Getting Started'!D$14="Yes",D4,"")</f>
        <v>3800000</v>
      </c>
      <c r="F4" s="17">
        <v>1985460</v>
      </c>
      <c r="G4" s="39">
        <f>IF('Getting Started'!D$14="No",D4-F4,IF('Getting Started'!D$14="Yes",E4-F4,""))</f>
        <v>1814540</v>
      </c>
      <c r="H4" s="60">
        <f>IF('Getting Started'!D$15="Yes",G4,"")</f>
        <v>1814540</v>
      </c>
      <c r="I4" s="61">
        <f>IF('Getting Started'!D$16="Yes",H4,"")</f>
        <v>1814540</v>
      </c>
      <c r="J4" s="62">
        <v>1814540</v>
      </c>
      <c r="K4" s="39">
        <f>IF('Getting Started'!D$15="No","",IF('Getting Started'!D$16="No",H4-J4,IF('Getting Started'!D$16="Yes",I4-J4,"")))</f>
        <v>0</v>
      </c>
      <c r="L4" s="63"/>
      <c r="M4" s="39">
        <f>IF('Getting Started'!D$15="No","",K4-L4)</f>
        <v>0</v>
      </c>
    </row>
    <row r="5" spans="1:13" x14ac:dyDescent="0.35">
      <c r="A5" s="95" t="s">
        <v>66</v>
      </c>
      <c r="C5" s="64" t="s">
        <v>208</v>
      </c>
      <c r="D5" s="16">
        <v>220000</v>
      </c>
      <c r="E5" s="38">
        <f>IF('Getting Started'!D$14="Yes",D5,"")</f>
        <v>220000</v>
      </c>
      <c r="F5" s="17">
        <v>110000</v>
      </c>
      <c r="G5" s="39">
        <f>IF('Getting Started'!D$14="No",D5-F5,IF('Getting Started'!D$14="Yes",E5-F5,""))</f>
        <v>110000</v>
      </c>
      <c r="H5" s="60">
        <f>IF('Getting Started'!D$15="Yes",G5,"")</f>
        <v>110000</v>
      </c>
      <c r="I5" s="61">
        <f>IF('Getting Started'!D$16="Yes",H5,"")</f>
        <v>110000</v>
      </c>
      <c r="J5" s="62">
        <v>110000</v>
      </c>
      <c r="K5" s="39">
        <f>IF('Getting Started'!D$15="No","",IF('Getting Started'!D$16="No",H5-J5,IF('Getting Started'!D$16="Yes",I5-J5,"")))</f>
        <v>0</v>
      </c>
      <c r="L5" s="63"/>
      <c r="M5" s="39">
        <f>IF('Getting Started'!D$15="No","",K5-L5)</f>
        <v>0</v>
      </c>
    </row>
    <row r="6" spans="1:13" x14ac:dyDescent="0.35">
      <c r="A6" s="78" t="s">
        <v>14</v>
      </c>
      <c r="C6" s="64" t="s">
        <v>194</v>
      </c>
      <c r="D6" s="16">
        <v>2690209</v>
      </c>
      <c r="E6" s="38">
        <f>IF('Getting Started'!D$14="Yes",D6,"")</f>
        <v>2690209</v>
      </c>
      <c r="F6" s="17">
        <v>1789000</v>
      </c>
      <c r="G6" s="39">
        <f>IF('Getting Started'!D$14="No",D6-F6,IF('Getting Started'!D$14="Yes",E6-F6,""))</f>
        <v>901209</v>
      </c>
      <c r="H6" s="60">
        <f>IF('Getting Started'!D$15="Yes",G6,"")</f>
        <v>901209</v>
      </c>
      <c r="I6" s="61">
        <f>IF('Getting Started'!D$16="Yes",H6,"")</f>
        <v>901209</v>
      </c>
      <c r="J6" s="62">
        <v>901209</v>
      </c>
      <c r="K6" s="39">
        <f>IF('Getting Started'!D$15="No","",IF('Getting Started'!D$16="No",H6-J6,IF('Getting Started'!D$16="Yes",I6-J6,"")))</f>
        <v>0</v>
      </c>
      <c r="L6" s="63"/>
      <c r="M6" s="39">
        <f>IF('Getting Started'!D$15="No","",K6-L6)</f>
        <v>0</v>
      </c>
    </row>
    <row r="7" spans="1:13" x14ac:dyDescent="0.35">
      <c r="A7" s="78" t="s">
        <v>16</v>
      </c>
      <c r="C7" s="64" t="s">
        <v>180</v>
      </c>
      <c r="D7" s="16">
        <v>5500000</v>
      </c>
      <c r="E7" s="38">
        <f>IF('Getting Started'!D$14="Yes",D7,"")</f>
        <v>5500000</v>
      </c>
      <c r="F7" s="17">
        <v>2750000</v>
      </c>
      <c r="G7" s="39">
        <f>IF('Getting Started'!D$14="No",D7-F7,IF('Getting Started'!D$14="Yes",E7-F7,""))</f>
        <v>2750000</v>
      </c>
      <c r="H7" s="60">
        <f>IF('Getting Started'!D$15="Yes",G7,"")</f>
        <v>2750000</v>
      </c>
      <c r="I7" s="61">
        <f>IF('Getting Started'!D$16="Yes",H7,"")</f>
        <v>2750000</v>
      </c>
      <c r="J7" s="62">
        <v>2750000</v>
      </c>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12210209</v>
      </c>
      <c r="E24" s="41">
        <f>IF('Getting Started'!D14="No","",SUM(E4:E23))</f>
        <v>12210209</v>
      </c>
      <c r="F24" s="41">
        <f t="shared" ref="F24:G24" si="0">SUM(F4:F23)</f>
        <v>6634460</v>
      </c>
      <c r="G24" s="39">
        <f t="shared" si="0"/>
        <v>5575749</v>
      </c>
      <c r="H24" s="41">
        <f>IF('Getting Started'!D15="No","",SUM(H4:H23))</f>
        <v>5575749</v>
      </c>
      <c r="I24" s="41">
        <f>IF('Getting Started'!D16="No","",SUM(I4:I23))</f>
        <v>5575749</v>
      </c>
      <c r="J24" s="39">
        <f t="shared" ref="J24:M24" si="1">SUM(J4:J23)</f>
        <v>5575749</v>
      </c>
      <c r="K24" s="39">
        <f t="shared" si="1"/>
        <v>0</v>
      </c>
      <c r="L24" s="15">
        <f t="shared" si="1"/>
        <v>0</v>
      </c>
      <c r="M24" s="41">
        <f t="shared" si="1"/>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6muOY3upccTIuzPGa8oUhkkC3dtBX4E98Syt6BMAlX08bejJaactXCP0pECXuSOeslxxd+J2huo43P6wBc8R3w==" saltValue="tKSwOLIlqFMV+FF5+sNBBw==" spinCount="100000" sheet="1" objects="1" scenarios="1"/>
  <mergeCells count="1">
    <mergeCell ref="A28:N28"/>
  </mergeCells>
  <conditionalFormatting sqref="G4:G24 K4:K24 M4:M24">
    <cfRule type="cellIs" dxfId="5" priority="1" operator="lessThan">
      <formula>0</formula>
    </cfRule>
  </conditionalFormatting>
  <dataValidations count="3">
    <dataValidation allowBlank="1" showInputMessage="1" showErrorMessage="1" prompt="To create a revised budget, select &quot;Yes&quot; in cell D14 on the Getting Started tab." sqref="E4" xr:uid="{866ED535-7844-432D-B5A9-4EBE39AD627A}"/>
    <dataValidation allowBlank="1" showInputMessage="1" showErrorMessage="1" prompt="To create a Tydings Period budget, select “Yes” in cell D15 on the Getting Started tab." sqref="H4" xr:uid="{431E4DCC-3BCB-49D7-8080-BCFEB64A25F4}"/>
    <dataValidation allowBlank="1" showInputMessage="1" showErrorMessage="1" prompt="To create a revised Tydings Period budget, select “Yes” in cell D16 on the Getting Started tab." sqref="I4" xr:uid="{4246577B-1119-42A3-9708-8420D0966EAD}"/>
  </dataValidations>
  <hyperlinks>
    <hyperlink ref="A2" location="'Table of Contents'!A1" display="Table of Contents" xr:uid="{65E03E86-2FB9-49E0-95BA-FAB5FFA38004}"/>
    <hyperlink ref="A3" location="'Getting Started'!A1" display="Getting Started" xr:uid="{BA9882DB-95D8-4239-8444-B0265D7428A3}"/>
    <hyperlink ref="A6" location="'a. Part B Administration'!A1" display="a. Part B Administration" xr:uid="{6AB7EAA0-3D6A-4290-81B0-EFCC9EA69626}"/>
    <hyperlink ref="A7" location="'b. Part C Administration'!A1" display="b. Part C Administration" xr:uid="{F1220E99-08B9-42C1-BCE5-7394117B6B67}"/>
    <hyperlink ref="A9" location="'d. PBIS and Mental Health'!A1" display="d. PBIS and Mental Health" xr:uid="{3743F36E-12E2-4C33-8ABB-2299FF256D4B}"/>
    <hyperlink ref="A10" location="'e. Personnel Shortages'!A1" display="e. Personnel Shortages" xr:uid="{0939A854-0BC2-43E0-B53A-1771E957E3DC}"/>
    <hyperlink ref="A8" location="'c. Support and Direct Services'!A1" display="c. Support and Direct Services" xr:uid="{A8CCE47B-02C1-43A6-9D7E-E418B15E2FAC}"/>
    <hyperlink ref="A11" location="'f. Capacity Building'!A1" display="f. Capacity Building" xr:uid="{FFD4C353-4C95-479D-B9D4-04321C4FBF87}"/>
    <hyperlink ref="A12" location="'g. Joint Part C Policy'!A1" display="g. Joint Part C Policy" xr:uid="{485D5D8D-86FA-471F-BA93-A916D34923FC}"/>
    <hyperlink ref="A14" location="'h. Monitoring and Enforcement'!A1" display="h. Monitoring and Enforcement" xr:uid="{A26FEF9B-DA99-4B97-A864-CA4F8F9B9EF1}"/>
    <hyperlink ref="A15" location="'i. Mediation Process'!A1" display="i. Mediation Process" xr:uid="{9852B7BD-CD48-4763-A800-F07FC3B18C2F}"/>
    <hyperlink ref="A16" location="'j. Support and Direct Services'!A1" display="j. Support and Direct Services" xr:uid="{F388C7C0-B32D-4520-9A66-6547D7128A4A}"/>
    <hyperlink ref="A17" location="'k. PBIS and Mental Health'!A1" display="k. PBIS and Mental Health" xr:uid="{AC7DD666-81EC-4E7C-91B6-BE3D7DC64549}"/>
    <hyperlink ref="A18" location="'l. Personnel Shortages'!A1" display="l. Personnel Shortages" xr:uid="{509CEC39-DB53-4854-AFDB-ABA20A1C965F}"/>
    <hyperlink ref="A19" location="'m. Capacity Building'!A1" display="m. Capacity Building" xr:uid="{2C05386B-B379-425D-9485-0E2898F720C4}"/>
    <hyperlink ref="A20" location="'n. Paperwork Reduction'!A1" display="n. Paperwork Reduction" xr:uid="{9AF53388-3908-420F-83A1-283205238F11}"/>
    <hyperlink ref="A21" location="'o. Improve Tech Use in Class'!A1" display="o. Improve Tech Use in Class" xr:uid="{A62A8CD4-B34E-4E7E-AD30-062A82C752FE}"/>
    <hyperlink ref="A22" location="'p. Technology for Access'!A1" display="p. Technology for Access" xr:uid="{BA0EA71D-9AD4-4685-A98F-3A3D19EE3F18}"/>
    <hyperlink ref="A23" location="'q. Transition Programs'!A1" display="q. Transition Programs" xr:uid="{ED51A945-492C-488D-B684-7CC01360ADCA}"/>
    <hyperlink ref="A24" location="'r. Alternative Programming'!A1" display="r. Alternative Programming" xr:uid="{E1C1051B-54E5-4C51-8191-97B76E51595E}"/>
    <hyperlink ref="A26" location="'t. TA for Acad Achievement'!A1" display="t. TA for Acad Achievement" xr:uid="{970FC05F-B268-4F1B-977D-0059BE763575}"/>
    <hyperlink ref="A27" location="'u-v. High Cost Fund'!A1" display="u-v. High Cost Fund" xr:uid="{3A1A5736-DE4F-49B7-9592-E058D8DBCDD5}"/>
    <hyperlink ref="A4" location="'State Set-Aside Overview'!A1" display="State Set-Aside Overview" xr:uid="{A5BDF721-93F2-4AF0-920D-F7BA2B5D036A}"/>
    <hyperlink ref="A25" location="'s. Accom and Alt Assessments'!A1" display="s. Accom and Alt Assessments" xr:uid="{0AD1BC90-DA8B-4136-9D39-82969D5198CC}"/>
  </hyperlinks>
  <pageMargins left="0.7" right="0.7" top="0.75" bottom="0.75" header="0.3" footer="0.3"/>
  <pageSetup orientation="portrait" r:id="rId1"/>
  <ignoredErrors>
    <ignoredError sqref="E5:E23 H5:I23"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5FFCE1A6-BB58-4A00-96BA-1FFADB5A654E}">
            <xm:f>'Getting Started'!$D$14="No"</xm:f>
            <x14:dxf>
              <fill>
                <patternFill>
                  <bgColor theme="1"/>
                </patternFill>
              </fill>
            </x14:dxf>
          </x14:cfRule>
          <xm:sqref>E4:E24</xm:sqref>
        </x14:conditionalFormatting>
        <x14:conditionalFormatting xmlns:xm="http://schemas.microsoft.com/office/excel/2006/main">
          <x14:cfRule type="expression" priority="2" id="{38B21DEE-B60F-4E08-B7CA-F767395B127A}">
            <xm:f>'Getting Started'!$D$15="No"</xm:f>
            <x14:dxf>
              <fill>
                <patternFill>
                  <bgColor theme="1"/>
                </patternFill>
              </fill>
            </x14:dxf>
          </x14:cfRule>
          <xm:sqref>H4:H24</xm:sqref>
        </x14:conditionalFormatting>
        <x14:conditionalFormatting xmlns:xm="http://schemas.microsoft.com/office/excel/2006/main">
          <x14:cfRule type="expression" priority="3" id="{87B786B5-25DB-4DAB-9806-578B0E785BB8}">
            <xm:f>'Getting Started'!$D$16="No"</xm:f>
            <x14:dxf>
              <fill>
                <patternFill>
                  <bgColor theme="1"/>
                </patternFill>
              </fill>
            </x14:dxf>
          </x14:cfRule>
          <xm:sqref>I4:I24</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tabColor theme="8" tint="0.39997558519241921"/>
  </sheetPr>
  <dimension ref="A1:I28"/>
  <sheetViews>
    <sheetView showGridLines="0" workbookViewId="0">
      <selection activeCell="A2" sqref="A2"/>
    </sheetView>
  </sheetViews>
  <sheetFormatPr defaultColWidth="0" defaultRowHeight="14.5" zeroHeight="1" x14ac:dyDescent="0.35"/>
  <cols>
    <col min="1" max="1" width="31.81640625" customWidth="1"/>
    <col min="2" max="2" width="2.81640625" customWidth="1"/>
    <col min="3" max="3" width="58.7265625" customWidth="1"/>
    <col min="4" max="7" width="16.54296875" customWidth="1"/>
    <col min="8" max="8" width="71.453125" customWidth="1"/>
    <col min="9" max="9" width="9.1796875" customWidth="1"/>
    <col min="10" max="16384" width="9.1796875" hidden="1"/>
  </cols>
  <sheetData>
    <row r="1" spans="1:8" ht="45" customHeight="1" x14ac:dyDescent="0.35">
      <c r="A1" s="77" t="s">
        <v>57</v>
      </c>
      <c r="C1" s="67" t="str">
        <f>IF('Getting Started'!D10="","High Cost Fund (LEA Risk Pool)",IF('Getting Started'!D10="Yes","High Cost Fund (LEA Risk Pool)",IF('Getting Started'!D10="No","You opted not to set aside funds for a High Cost Fund. To change this, edit your response in cell D10 on the Getting Started tab.")))</f>
        <v>High Cost Fund (LEA Risk Pool)</v>
      </c>
      <c r="D1" s="11"/>
      <c r="E1" s="11"/>
      <c r="F1" s="11"/>
      <c r="G1" s="11"/>
    </row>
    <row r="2" spans="1:8" ht="38.15" customHeight="1" x14ac:dyDescent="0.35">
      <c r="A2" s="80" t="s">
        <v>6</v>
      </c>
      <c r="C2" s="118" t="str">
        <f>IF('Getting Started'!D14="Yes","","Note: To remove blackout and enter data in column E, select 'Yes' on the Getting Started tab in cell D14.")</f>
        <v/>
      </c>
      <c r="D2" s="43" t="str">
        <f>CONCATENATE("Grant Award FFY ",'Getting Started'!D3," Budget Period (July 1, ",'Getting Started'!D3,"-September 30, ",'Getting Started'!D3+1,")")</f>
        <v>Grant Award FFY 2025 Budget Period (July 1, 2025-September 30, 2026)</v>
      </c>
      <c r="E2" s="53"/>
      <c r="F2" s="11"/>
      <c r="G2" s="11"/>
    </row>
    <row r="3" spans="1:8" ht="43.5" x14ac:dyDescent="0.35">
      <c r="A3" s="80" t="s">
        <v>9</v>
      </c>
      <c r="C3" s="44" t="s">
        <v>179</v>
      </c>
      <c r="D3" s="48" t="s">
        <v>152</v>
      </c>
      <c r="E3" s="54" t="s">
        <v>153</v>
      </c>
      <c r="F3" s="55" t="s">
        <v>154</v>
      </c>
      <c r="G3" s="56" t="s">
        <v>155</v>
      </c>
      <c r="H3" s="18" t="s">
        <v>214</v>
      </c>
    </row>
    <row r="4" spans="1:8" ht="43.5" x14ac:dyDescent="0.35">
      <c r="A4" s="80" t="s">
        <v>11</v>
      </c>
      <c r="C4" s="42" t="s">
        <v>215</v>
      </c>
      <c r="D4" s="16">
        <v>3475419</v>
      </c>
      <c r="E4" s="38">
        <f>IF('Getting Started'!D$14="Yes",D4,"")</f>
        <v>3475419</v>
      </c>
      <c r="F4" s="17">
        <v>2326126</v>
      </c>
      <c r="G4" s="39">
        <f>IF('Getting Started'!D$14="No",D4-F4,IF('Getting Started'!D$14="Yes",E4-F4,""))</f>
        <v>1149293</v>
      </c>
    </row>
    <row r="5" spans="1:8" ht="43.5" x14ac:dyDescent="0.35">
      <c r="A5" s="95" t="s">
        <v>66</v>
      </c>
      <c r="C5" s="42" t="s">
        <v>216</v>
      </c>
      <c r="D5" s="16"/>
      <c r="E5" s="38">
        <f>IF('Getting Started'!D$14="Yes",D5,"")</f>
        <v>0</v>
      </c>
      <c r="F5" s="17"/>
      <c r="G5" s="39">
        <f>IF('Getting Started'!D$14="No",D5-F5,IF('Getting Started'!D$14="Yes",E5-F5,""))</f>
        <v>0</v>
      </c>
    </row>
    <row r="6" spans="1:8" x14ac:dyDescent="0.35">
      <c r="A6" s="78" t="s">
        <v>14</v>
      </c>
      <c r="C6" s="40" t="s">
        <v>183</v>
      </c>
      <c r="D6" s="41">
        <f t="shared" ref="D6:F6" si="0">SUM(D4:D5)</f>
        <v>3475419</v>
      </c>
      <c r="E6" s="41">
        <f>IF('Getting Started'!D14="No","",SUM(E4:E5))</f>
        <v>3475419</v>
      </c>
      <c r="F6" s="41">
        <f t="shared" si="0"/>
        <v>2326126</v>
      </c>
      <c r="G6" s="39">
        <f>SUM(G4:G5)</f>
        <v>1149293</v>
      </c>
    </row>
    <row r="7" spans="1:8" x14ac:dyDescent="0.35">
      <c r="A7" s="78" t="s">
        <v>16</v>
      </c>
    </row>
    <row r="8" spans="1:8" ht="13" customHeight="1" x14ac:dyDescent="0.35">
      <c r="A8" s="78" t="s">
        <v>18</v>
      </c>
      <c r="C8" s="146" t="str">
        <f>IF(AND('Getting Started'!D10="Yes",D6&lt;0.1*'Getting Started'!D12),"You have not set aside enough money for the High Cost Fund in the application budget.","")</f>
        <v/>
      </c>
      <c r="D8" s="119"/>
      <c r="E8" s="146" t="str">
        <f>IF(AND('Getting Started'!D10="Yes",E6&lt;0.1*'Getting Started'!D12),"You have not set aside enough money for the High Cost Fund in the revised budget.","")</f>
        <v/>
      </c>
      <c r="F8" s="146"/>
      <c r="G8" s="146"/>
    </row>
    <row r="9" spans="1:8" x14ac:dyDescent="0.35">
      <c r="A9" s="78" t="s">
        <v>20</v>
      </c>
      <c r="C9" s="146"/>
      <c r="D9" s="20"/>
      <c r="E9" s="146"/>
      <c r="F9" s="146"/>
      <c r="G9" s="146"/>
    </row>
    <row r="10" spans="1:8" ht="14.5" customHeight="1" x14ac:dyDescent="0.35">
      <c r="A10" s="78" t="s">
        <v>22</v>
      </c>
      <c r="C10" s="146" t="str">
        <f>IF(D5="","",IF(D5&gt;(0.05*D6),"Warning: the amount budgeted for support for innovative and effective ways of cost sharing must not exceed 5% of the total amount for the High Cost Fund in the application budget.",""))</f>
        <v/>
      </c>
      <c r="D10" s="146"/>
      <c r="E10" s="146" t="str">
        <f>IF(E5="","",IF(E5&gt;(0.05*E6),"Warning: the amount budgeted for support for innovative and effective ways of cost sharing must not exceed 5% of the total amount for the High Cost Fund in the revised budget.",""))</f>
        <v/>
      </c>
      <c r="F10" s="146"/>
      <c r="G10" s="146"/>
    </row>
    <row r="11" spans="1:8" x14ac:dyDescent="0.35">
      <c r="A11" s="78" t="s">
        <v>24</v>
      </c>
      <c r="C11" s="146"/>
      <c r="D11" s="146"/>
      <c r="E11" s="146"/>
      <c r="F11" s="146"/>
      <c r="G11" s="146"/>
    </row>
    <row r="12" spans="1:8" x14ac:dyDescent="0.35">
      <c r="A12" s="78" t="s">
        <v>26</v>
      </c>
      <c r="C12" s="146"/>
      <c r="D12" s="146"/>
      <c r="E12" s="146"/>
      <c r="F12" s="146"/>
      <c r="G12" s="146"/>
    </row>
    <row r="13" spans="1:8" x14ac:dyDescent="0.35">
      <c r="A13" s="95" t="s">
        <v>28</v>
      </c>
    </row>
    <row r="14" spans="1:8" x14ac:dyDescent="0.35">
      <c r="A14" s="78" t="s">
        <v>29</v>
      </c>
    </row>
    <row r="15" spans="1:8" x14ac:dyDescent="0.35">
      <c r="A15" s="78" t="s">
        <v>31</v>
      </c>
    </row>
    <row r="16" spans="1:8" x14ac:dyDescent="0.35">
      <c r="A16" s="78" t="s">
        <v>33</v>
      </c>
    </row>
    <row r="17" spans="1:9" x14ac:dyDescent="0.35">
      <c r="A17" s="78" t="s">
        <v>35</v>
      </c>
    </row>
    <row r="18" spans="1:9" x14ac:dyDescent="0.35">
      <c r="A18" s="78" t="s">
        <v>37</v>
      </c>
    </row>
    <row r="19" spans="1:9" x14ac:dyDescent="0.35">
      <c r="A19" s="78" t="s">
        <v>39</v>
      </c>
    </row>
    <row r="20" spans="1:9" x14ac:dyDescent="0.35">
      <c r="A20" s="78" t="s">
        <v>41</v>
      </c>
    </row>
    <row r="21" spans="1:9" x14ac:dyDescent="0.35">
      <c r="A21" s="78" t="s">
        <v>43</v>
      </c>
    </row>
    <row r="22" spans="1:9" x14ac:dyDescent="0.35">
      <c r="A22" s="78" t="s">
        <v>45</v>
      </c>
    </row>
    <row r="23" spans="1:9" x14ac:dyDescent="0.35">
      <c r="A23" s="78" t="s">
        <v>47</v>
      </c>
    </row>
    <row r="24" spans="1:9" x14ac:dyDescent="0.35">
      <c r="A24" s="78" t="s">
        <v>49</v>
      </c>
    </row>
    <row r="25" spans="1:9" x14ac:dyDescent="0.35">
      <c r="A25" s="78" t="s">
        <v>51</v>
      </c>
      <c r="C25" s="123"/>
    </row>
    <row r="26" spans="1:9" x14ac:dyDescent="0.35">
      <c r="A26" s="79" t="s">
        <v>53</v>
      </c>
      <c r="C26" s="123"/>
    </row>
    <row r="27" spans="1:9" x14ac:dyDescent="0.35">
      <c r="A27" s="78" t="s">
        <v>55</v>
      </c>
      <c r="C27" s="123" t="s">
        <v>221</v>
      </c>
      <c r="D27" s="135"/>
      <c r="E27" s="135"/>
      <c r="F27" s="135"/>
      <c r="G27" s="135"/>
    </row>
    <row r="28" spans="1:9" x14ac:dyDescent="0.35">
      <c r="A28" s="142" t="s">
        <v>5</v>
      </c>
      <c r="B28" s="142"/>
      <c r="C28" s="142"/>
      <c r="D28" s="142"/>
      <c r="E28" s="142"/>
      <c r="F28" s="142"/>
      <c r="G28" s="142"/>
      <c r="H28" s="142"/>
      <c r="I28" s="142"/>
    </row>
  </sheetData>
  <sheetProtection algorithmName="SHA-512" hashValue="7iCFnnhEScVdSad3/NtVOrCtXzelZplFzJzc2gmEY7YAMTYAlNWh3jvWz70RMgAYRnzZN9Gz6fYeJiK94OcmQw==" saltValue="pzoA2ApZadloxLLxt/agiw==" spinCount="100000" sheet="1" objects="1" scenarios="1"/>
  <mergeCells count="5">
    <mergeCell ref="C8:C9"/>
    <mergeCell ref="E8:G9"/>
    <mergeCell ref="E10:G12"/>
    <mergeCell ref="C10:D12"/>
    <mergeCell ref="A28:I28"/>
  </mergeCells>
  <conditionalFormatting sqref="G4:G6">
    <cfRule type="cellIs" dxfId="0" priority="1" operator="lessThan">
      <formula>0</formula>
    </cfRule>
  </conditionalFormatting>
  <dataValidations count="1">
    <dataValidation allowBlank="1" showInputMessage="1" showErrorMessage="1" prompt="To create a revised budget, select &quot;Yes&quot; in cell D14 on the Getting Started tab." sqref="E4" xr:uid="{97257E0E-C6F4-4808-8378-271947E86CEE}"/>
  </dataValidations>
  <hyperlinks>
    <hyperlink ref="A2" location="'Table of Contents'!A1" display="Table of Contents" xr:uid="{6EB96796-D4A9-440E-8F81-4F772A7152D8}"/>
    <hyperlink ref="A3" location="'Getting Started'!A1" display="Getting Started" xr:uid="{91CEF7EC-3939-4BBB-9F00-0FCF2FA404DB}"/>
    <hyperlink ref="A6" location="'a. Part B Administration'!A1" display="a. Part B Administration" xr:uid="{81AC3F5D-9463-45C4-8CAB-45A1DDDC32C7}"/>
    <hyperlink ref="A7" location="'b. Part C Administration'!A1" display="b. Part C Administration" xr:uid="{C1443ECC-3282-4310-BDCA-42DB7DDA34FC}"/>
    <hyperlink ref="A9" location="'d. PBIS and Mental Health'!A1" display="d. PBIS and Mental Health" xr:uid="{C677D436-FD25-4938-85B8-3F0BA82871CB}"/>
    <hyperlink ref="A10" location="'e. Personnel Shortages'!A1" display="e. Personnel Shortages" xr:uid="{70314973-1B3C-41ED-879B-66168CAC73B0}"/>
    <hyperlink ref="A8" location="'c. Support and Direct Services'!A1" display="c. Support and Direct Services" xr:uid="{74718126-3461-4513-87C8-685188CFA748}"/>
    <hyperlink ref="A11" location="'f. Capacity Building'!A1" display="f. Capacity Building" xr:uid="{9C9D5967-3163-4991-80AF-7789552C0C37}"/>
    <hyperlink ref="A12" location="'g. Joint Part C Policy'!A1" display="g. Joint Part C Policy" xr:uid="{88846EA1-58DF-4C19-9938-E34C28930933}"/>
    <hyperlink ref="A14" location="'h. Monitoring and Enforcement'!A1" display="h. Monitoring and Enforcement" xr:uid="{B7BF960E-1D39-430A-876B-D811E88C9689}"/>
    <hyperlink ref="A15" location="'i. Mediation Process'!A1" display="i. Mediation Process" xr:uid="{B6D4D29A-F96C-4ECE-AE4F-F9AE32509C24}"/>
    <hyperlink ref="A16" location="'j. Support and Direct Services'!A1" display="j. Support and Direct Services" xr:uid="{7D4C5DE2-C433-4198-9441-B1F060CCCD1B}"/>
    <hyperlink ref="A17" location="'k. PBIS and Mental Health'!A1" display="k. PBIS and Mental Health" xr:uid="{73BB3491-858F-41B0-B9A2-194C6928D76C}"/>
    <hyperlink ref="A18" location="'l. Personnel Shortages'!A1" display="l. Personnel Shortages" xr:uid="{1590D37E-E0BE-4DE2-B385-A24402731A65}"/>
    <hyperlink ref="A19" location="'m. Capacity Building'!A1" display="m. Capacity Building" xr:uid="{1CB4EDB5-A9CB-4664-B1CB-04F876C2F450}"/>
    <hyperlink ref="A20" location="'n. Paperwork Reduction'!A1" display="n. Paperwork Reduction" xr:uid="{AC388C55-0E78-489A-BE9C-313DA363F1AE}"/>
    <hyperlink ref="A21" location="'o. Improve Tech Use in Class'!A1" display="o. Improve Tech Use in Class" xr:uid="{24CCFBDD-E790-4567-BD87-3492EC531A3F}"/>
    <hyperlink ref="A22" location="'p. Technology for Access'!A1" display="p. Technology for Access" xr:uid="{4BCDC3CA-C6EF-4EFE-B09E-B6F6A4B48D30}"/>
    <hyperlink ref="A23" location="'q. Transition Programs'!A1" display="q. Transition Programs" xr:uid="{3EDE0B40-2A61-474C-AF11-C82145FAE685}"/>
    <hyperlink ref="A24" location="'r. Alternative Programming'!A1" display="r. Alternative Programming" xr:uid="{D3156149-656B-4084-BA81-A366576E1497}"/>
    <hyperlink ref="A26" location="'t. TA for Acad Achievement'!A1" display="t. TA for Acad Achievement" xr:uid="{8C9B7245-7B69-4570-8DB2-EAF03459FF2F}"/>
    <hyperlink ref="A27" location="'u-v. High Cost Fund'!A1" display="u-v. High Cost Fund" xr:uid="{D8456EDE-EA39-4825-B09E-88A3133409F4}"/>
    <hyperlink ref="A4" location="'State Set-Aside Overview'!A1" display="State Set-Aside Overview" xr:uid="{F13E9865-74FB-4498-B742-C406D190209E}"/>
    <hyperlink ref="A25" location="'s. Accom and Alt Assessments'!A1" display="s. Accom and Alt Assessments" xr:uid="{55405D0E-D3A8-4388-80E9-4F36625D5493}"/>
  </hyperlinks>
  <pageMargins left="0.7" right="0.7" top="0.75" bottom="0.75" header="0.3" footer="0.3"/>
  <pageSetup orientation="portrait" r:id="rId1"/>
  <ignoredErrors>
    <ignoredError sqref="E5" unlockedFormula="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5" id="{5AA82C34-7855-4167-A8B0-035897878510}">
            <xm:f>'Getting Started'!$D$10="No"</xm:f>
            <x14:dxf>
              <fill>
                <patternFill>
                  <bgColor theme="1"/>
                </patternFill>
              </fill>
            </x14:dxf>
          </x14:cfRule>
          <xm:sqref>C4:G6</xm:sqref>
        </x14:conditionalFormatting>
        <x14:conditionalFormatting xmlns:xm="http://schemas.microsoft.com/office/excel/2006/main">
          <x14:cfRule type="expression" priority="2" id="{2806EBB2-CE3A-4DCD-A5E4-C3CB89A6B6F5}">
            <xm:f>'Getting Started'!$D$14="No"</xm:f>
            <x14:dxf>
              <fill>
                <patternFill>
                  <bgColor theme="1"/>
                </patternFill>
              </fill>
            </x14:dxf>
          </x14:cfRule>
          <xm:sqref>E4:E6</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sheetPr>
  <dimension ref="A1:G28"/>
  <sheetViews>
    <sheetView showGridLines="0" zoomScaleNormal="100" workbookViewId="0"/>
  </sheetViews>
  <sheetFormatPr defaultColWidth="0" defaultRowHeight="14.5" zeroHeight="1" x14ac:dyDescent="0.35"/>
  <cols>
    <col min="1" max="1" width="31.81640625" customWidth="1"/>
    <col min="2" max="2" width="2.81640625" customWidth="1"/>
    <col min="3" max="3" width="43.54296875" customWidth="1"/>
    <col min="4" max="4" width="19.54296875" customWidth="1"/>
    <col min="5" max="5" width="62.1796875" customWidth="1"/>
    <col min="6" max="6" width="69.81640625" customWidth="1"/>
    <col min="7" max="7" width="9.1796875" customWidth="1"/>
    <col min="8" max="16384" width="9.1796875" hidden="1"/>
  </cols>
  <sheetData>
    <row r="1" spans="1:6" ht="15.5" x14ac:dyDescent="0.35">
      <c r="A1" s="77" t="s">
        <v>57</v>
      </c>
      <c r="C1" s="2" t="s">
        <v>58</v>
      </c>
    </row>
    <row r="2" spans="1:6" x14ac:dyDescent="0.35">
      <c r="A2" s="80" t="s">
        <v>6</v>
      </c>
      <c r="C2" s="18" t="s">
        <v>59</v>
      </c>
      <c r="D2" s="4" t="s">
        <v>217</v>
      </c>
      <c r="E2" s="3" t="s">
        <v>61</v>
      </c>
      <c r="F2" s="19"/>
    </row>
    <row r="3" spans="1:6" x14ac:dyDescent="0.35">
      <c r="A3" s="80" t="s">
        <v>9</v>
      </c>
      <c r="C3" s="18" t="s">
        <v>62</v>
      </c>
      <c r="D3" s="4">
        <v>2025</v>
      </c>
      <c r="E3" s="3" t="s">
        <v>63</v>
      </c>
      <c r="F3" s="19"/>
    </row>
    <row r="4" spans="1:6" ht="29" x14ac:dyDescent="0.35">
      <c r="A4" s="80" t="s">
        <v>11</v>
      </c>
      <c r="C4" s="18" t="s">
        <v>64</v>
      </c>
      <c r="D4" s="5">
        <v>257438445</v>
      </c>
      <c r="E4" s="3" t="s">
        <v>65</v>
      </c>
      <c r="F4" s="19"/>
    </row>
    <row r="5" spans="1:6" ht="29" x14ac:dyDescent="0.35">
      <c r="A5" s="95" t="s">
        <v>66</v>
      </c>
      <c r="C5" s="18" t="s">
        <v>67</v>
      </c>
      <c r="D5" s="5">
        <v>5663646</v>
      </c>
      <c r="E5" s="3" t="s">
        <v>68</v>
      </c>
      <c r="F5" s="19"/>
    </row>
    <row r="6" spans="1:6" ht="43.5" x14ac:dyDescent="0.35">
      <c r="A6" s="78" t="s">
        <v>14</v>
      </c>
      <c r="C6" s="18" t="s">
        <v>69</v>
      </c>
      <c r="D6" s="5">
        <v>5663646</v>
      </c>
      <c r="E6" s="3" t="s">
        <v>70</v>
      </c>
      <c r="F6" s="20" t="str">
        <f>IF(D6="","",IF(D6&gt;D5,"The amount set aside for Administration is greater than the maximum available.",""))</f>
        <v/>
      </c>
    </row>
    <row r="7" spans="1:6" ht="43.5" x14ac:dyDescent="0.35">
      <c r="A7" s="78" t="s">
        <v>16</v>
      </c>
      <c r="C7" s="18" t="s">
        <v>71</v>
      </c>
      <c r="D7" s="70">
        <f>IF(D2="","",IF('2004 Admin Data'!D2&lt;'Getting Started'!D6,D6-'2004 Admin Data'!D2,0))</f>
        <v>1794624</v>
      </c>
      <c r="E7" s="3" t="s">
        <v>72</v>
      </c>
      <c r="F7" s="20"/>
    </row>
    <row r="8" spans="1:6" x14ac:dyDescent="0.35">
      <c r="A8" s="78" t="s">
        <v>18</v>
      </c>
      <c r="C8" s="18" t="s">
        <v>73</v>
      </c>
      <c r="D8" s="8" t="s">
        <v>74</v>
      </c>
      <c r="E8" s="3" t="s">
        <v>75</v>
      </c>
      <c r="F8" s="19"/>
    </row>
    <row r="9" spans="1:6" ht="29" x14ac:dyDescent="0.35">
      <c r="A9" s="78" t="s">
        <v>20</v>
      </c>
      <c r="C9" s="18" t="s">
        <v>76</v>
      </c>
      <c r="D9" s="8" t="s">
        <v>77</v>
      </c>
      <c r="E9" s="3" t="s">
        <v>75</v>
      </c>
      <c r="F9" s="19"/>
    </row>
    <row r="10" spans="1:6" ht="29" x14ac:dyDescent="0.35">
      <c r="A10" s="78" t="s">
        <v>22</v>
      </c>
      <c r="C10" s="18" t="s">
        <v>78</v>
      </c>
      <c r="D10" s="8" t="s">
        <v>77</v>
      </c>
      <c r="E10" s="3" t="s">
        <v>79</v>
      </c>
      <c r="F10" s="20"/>
    </row>
    <row r="11" spans="1:6" ht="29" x14ac:dyDescent="0.35">
      <c r="A11" s="78" t="s">
        <v>24</v>
      </c>
      <c r="C11" s="18" t="s">
        <v>80</v>
      </c>
      <c r="D11" s="7">
        <v>29090544</v>
      </c>
      <c r="E11" s="3" t="str">
        <f>IF(AND(D6&gt;850000,D10="Yes"),"Copy and 'paste values' from Grants to States Summary Table column E or Interactive Spreadsheet cell H96.",IF(AND(D6&gt;850000,D10="No"),"Copy and 'paste values' from Grants to States Summary Table column F or Interactive Spreadsheet cell H96.",IF(AND(D6&lt;=850000,D10="Yes"),"Copy and paste values from Grants to States Summary Table column G or Interactive Spreadsheet cell H96.",IF(AND(D6&lt;=850000,D10="No"),"Copy and 'paste values' from Grants to States Summary Table column H or Interactive Spreadsheet cell H96.","Enter data in cells D6 and D10 above before entering data here."))))</f>
        <v>Copy and 'paste values' from Grants to States Summary Table column E or Interactive Spreadsheet cell H96.</v>
      </c>
    </row>
    <row r="12" spans="1:6" ht="43.5" x14ac:dyDescent="0.35">
      <c r="A12" s="78" t="s">
        <v>26</v>
      </c>
      <c r="C12" s="18" t="s">
        <v>81</v>
      </c>
      <c r="D12" s="7">
        <v>29090544</v>
      </c>
      <c r="E12" s="3" t="s">
        <v>82</v>
      </c>
      <c r="F12" s="20" t="str">
        <f>IF(D12="","",IF(D12&gt;D11,"The amount set aside for Other State-Level Activities is greater than the maximum available.",""))</f>
        <v/>
      </c>
    </row>
    <row r="13" spans="1:6" ht="29" x14ac:dyDescent="0.35">
      <c r="A13" s="95" t="s">
        <v>28</v>
      </c>
      <c r="C13" s="18" t="s">
        <v>83</v>
      </c>
      <c r="D13" s="6">
        <f>D6+D12</f>
        <v>34754190</v>
      </c>
      <c r="E13" s="3" t="s">
        <v>84</v>
      </c>
      <c r="F13" s="19" t="str">
        <f>IF(D2="","",IF(D13&gt;D4,"The amount reserved is greater than the total grant amount.",""))</f>
        <v/>
      </c>
    </row>
    <row r="14" spans="1:6" ht="29" x14ac:dyDescent="0.35">
      <c r="A14" s="78" t="s">
        <v>29</v>
      </c>
      <c r="C14" s="18" t="s">
        <v>85</v>
      </c>
      <c r="D14" s="4" t="s">
        <v>77</v>
      </c>
      <c r="E14" s="3" t="s">
        <v>86</v>
      </c>
      <c r="F14" s="19"/>
    </row>
    <row r="15" spans="1:6" ht="29" x14ac:dyDescent="0.35">
      <c r="A15" s="78" t="s">
        <v>31</v>
      </c>
      <c r="C15" s="18" t="s">
        <v>87</v>
      </c>
      <c r="D15" s="4" t="s">
        <v>77</v>
      </c>
      <c r="E15" s="3" t="s">
        <v>88</v>
      </c>
      <c r="F15" s="19"/>
    </row>
    <row r="16" spans="1:6" ht="29" x14ac:dyDescent="0.35">
      <c r="A16" s="78" t="s">
        <v>33</v>
      </c>
      <c r="C16" s="1" t="s">
        <v>89</v>
      </c>
      <c r="D16" s="4" t="s">
        <v>77</v>
      </c>
      <c r="E16" s="3" t="s">
        <v>90</v>
      </c>
      <c r="F16" s="19"/>
    </row>
    <row r="17" spans="1:6" x14ac:dyDescent="0.35">
      <c r="A17" s="78" t="s">
        <v>35</v>
      </c>
      <c r="F17" s="19"/>
    </row>
    <row r="18" spans="1:6" x14ac:dyDescent="0.35">
      <c r="A18" s="78" t="s">
        <v>37</v>
      </c>
      <c r="C18" t="s">
        <v>91</v>
      </c>
    </row>
    <row r="19" spans="1:6" x14ac:dyDescent="0.35">
      <c r="A19" s="78" t="s">
        <v>39</v>
      </c>
      <c r="C19" t="s">
        <v>92</v>
      </c>
    </row>
    <row r="20" spans="1:6" x14ac:dyDescent="0.35">
      <c r="A20" s="78" t="s">
        <v>41</v>
      </c>
    </row>
    <row r="21" spans="1:6" x14ac:dyDescent="0.35">
      <c r="A21" s="78" t="s">
        <v>43</v>
      </c>
    </row>
    <row r="22" spans="1:6" x14ac:dyDescent="0.35">
      <c r="A22" s="78" t="s">
        <v>45</v>
      </c>
    </row>
    <row r="23" spans="1:6" x14ac:dyDescent="0.35">
      <c r="A23" s="78" t="s">
        <v>47</v>
      </c>
    </row>
    <row r="24" spans="1:6" x14ac:dyDescent="0.35">
      <c r="A24" s="78" t="s">
        <v>49</v>
      </c>
    </row>
    <row r="25" spans="1:6" x14ac:dyDescent="0.35">
      <c r="A25" s="78" t="s">
        <v>51</v>
      </c>
    </row>
    <row r="26" spans="1:6" x14ac:dyDescent="0.35">
      <c r="A26" s="79" t="s">
        <v>53</v>
      </c>
      <c r="C26" s="123"/>
    </row>
    <row r="27" spans="1:6" x14ac:dyDescent="0.35">
      <c r="A27" s="78" t="s">
        <v>55</v>
      </c>
      <c r="C27" s="123" t="s">
        <v>221</v>
      </c>
    </row>
    <row r="28" spans="1:6" x14ac:dyDescent="0.35">
      <c r="A28" s="142" t="s">
        <v>5</v>
      </c>
      <c r="B28" s="142"/>
      <c r="C28" s="142"/>
      <c r="D28" s="142"/>
      <c r="E28" s="142"/>
      <c r="F28" s="142"/>
    </row>
  </sheetData>
  <sheetProtection algorithmName="SHA-512" hashValue="JAN1Q+eCBuuZgY+ZFwqWQDDh8tzpmFnpfxzVaSL86ZhZ66X5aMf6D2AtrKyQOTxdF+dHrUPiAloqRTalEX6NWQ==" saltValue="EHFHBqeGYgHeYdP/Bdq1iA==" spinCount="100000" sheet="1" objects="1" scenarios="1"/>
  <mergeCells count="1">
    <mergeCell ref="A28:F28"/>
  </mergeCells>
  <dataValidations count="1">
    <dataValidation type="list" allowBlank="1" showInputMessage="1" showErrorMessage="1" sqref="D8:D10 D14:D16" xr:uid="{00000000-0002-0000-0200-000000000000}">
      <formula1>"Yes,No"</formula1>
    </dataValidation>
  </dataValidations>
  <hyperlinks>
    <hyperlink ref="A2" location="'Table of Contents'!A1" display="Table of Contents" xr:uid="{00000000-0004-0000-0200-000000000000}"/>
    <hyperlink ref="A3" location="'Getting Started'!A1" display="Getting Started" xr:uid="{00000000-0004-0000-0200-000001000000}"/>
    <hyperlink ref="A6" location="'a. Part B Administration'!A1" display="a. Part B Administration" xr:uid="{00000000-0004-0000-0200-000003000000}"/>
    <hyperlink ref="A7" location="'b. Part C Administration'!A1" display="b. Part C Administration" xr:uid="{00000000-0004-0000-0200-000004000000}"/>
    <hyperlink ref="A9" location="'d. PBIS and Mental Health'!A1" display="d. PBIS and Mental Health" xr:uid="{00000000-0004-0000-0200-000005000000}"/>
    <hyperlink ref="A10" location="'e. Personnel Shortages'!A1" display="e. Personnel Shortages" xr:uid="{00000000-0004-0000-0200-000006000000}"/>
    <hyperlink ref="A8" location="'c. Support and Direct Services'!A1" display="c. Support and Direct Services" xr:uid="{00000000-0004-0000-0200-000007000000}"/>
    <hyperlink ref="A11" location="'f. Capacity Building'!A1" display="f. Capacity Building" xr:uid="{00000000-0004-0000-0200-000008000000}"/>
    <hyperlink ref="A12" location="'g. Joint Part C Policy'!A1" display="g. Joint Part C Policy" xr:uid="{00000000-0004-0000-0200-000009000000}"/>
    <hyperlink ref="A14" location="'h. Monitoring and Enforcement'!A1" display="h. Monitoring and Enforcement" xr:uid="{00000000-0004-0000-0200-00000B000000}"/>
    <hyperlink ref="A15" location="'i. Mediation Process'!A1" display="i. Mediation Process" xr:uid="{00000000-0004-0000-0200-00000C000000}"/>
    <hyperlink ref="A16" location="'j. Support and Direct Services'!A1" display="j. Support and Direct Services" xr:uid="{00000000-0004-0000-0200-00000D000000}"/>
    <hyperlink ref="A17" location="'k. PBIS and Mental Health'!A1" display="k. PBIS and Mental Health" xr:uid="{00000000-0004-0000-0200-00000E000000}"/>
    <hyperlink ref="A18" location="'l. Personnel Shortages'!A1" display="l. Personnel Shortages" xr:uid="{00000000-0004-0000-0200-00000F000000}"/>
    <hyperlink ref="A19" location="'m. Capacity Building'!A1" display="m. Capacity Building" xr:uid="{00000000-0004-0000-0200-000010000000}"/>
    <hyperlink ref="A20" location="'n. Paperwork Reduction'!A1" display="n. Paperwork Reduction" xr:uid="{00000000-0004-0000-0200-000011000000}"/>
    <hyperlink ref="A21" location="'o. Improve Tech Use in Class'!A1" display="o. Improve Tech Use in Class" xr:uid="{00000000-0004-0000-0200-000012000000}"/>
    <hyperlink ref="A22" location="'p. Technology for Access'!A1" display="p. Technology for Access" xr:uid="{00000000-0004-0000-0200-000013000000}"/>
    <hyperlink ref="A23" location="'q. Transition Programs'!A1" display="q. Transition Programs" xr:uid="{00000000-0004-0000-0200-000014000000}"/>
    <hyperlink ref="A24" location="'r. Alternative Programming'!A1" display="r. Alternative Programming" xr:uid="{00000000-0004-0000-0200-000015000000}"/>
    <hyperlink ref="A25" location="'s. Accom and Alt Assessments'!A1" display="s. Accom and Alt Assessments" xr:uid="{00000000-0004-0000-0200-000016000000}"/>
    <hyperlink ref="A26" location="'t. TA for Acad Achievement'!A1" display="t. TA for Acad Achievement" xr:uid="{00000000-0004-0000-0200-000017000000}"/>
    <hyperlink ref="A27" location="'u-v. High Cost Fund'!A1" display="u-v. High Cost Fund" xr:uid="{00000000-0004-0000-0200-000018000000}"/>
    <hyperlink ref="A4" location="'State Set-Aside Overview'!A1" display="State Set-Aside Overview" xr:uid="{F9454669-21EA-4DBC-BD05-ECA683422CD8}"/>
  </hyperlinks>
  <pageMargins left="0.7" right="0.7" top="0.75" bottom="0.75" header="0.3" footer="0.3"/>
  <pageSetup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FEF5819D-C491-41B5-858E-16E6A41ED88B}">
          <x14:formula1>
            <xm:f>'2004 Admin Data'!$A$2:$A$55</xm:f>
          </x14:formula1>
          <xm:sqref>D2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091CC1-7D95-454E-A02B-0472BD376173}">
  <sheetPr>
    <tabColor rgb="FF7030A0"/>
  </sheetPr>
  <dimension ref="A1:D60"/>
  <sheetViews>
    <sheetView workbookViewId="0">
      <selection activeCell="D3" sqref="D3"/>
    </sheetView>
  </sheetViews>
  <sheetFormatPr defaultRowHeight="14.5" x14ac:dyDescent="0.35"/>
  <cols>
    <col min="1" max="1" width="22.453125" bestFit="1" customWidth="1"/>
    <col min="2" max="2" width="15.453125" bestFit="1" customWidth="1"/>
    <col min="4" max="4" width="14.453125" bestFit="1" customWidth="1"/>
  </cols>
  <sheetData>
    <row r="1" spans="1:4" x14ac:dyDescent="0.35">
      <c r="A1" t="s">
        <v>59</v>
      </c>
      <c r="B1" t="s">
        <v>93</v>
      </c>
    </row>
    <row r="2" spans="1:4" x14ac:dyDescent="0.35">
      <c r="A2" t="s">
        <v>217</v>
      </c>
      <c r="B2" s="69">
        <v>3869022</v>
      </c>
      <c r="D2" s="69">
        <f>VLOOKUP(GettingStarted[[#This Row],[Column2]],'2004 Admin Data'!A2:B55,2,FALSE)</f>
        <v>3869022</v>
      </c>
    </row>
    <row r="3" spans="1:4" x14ac:dyDescent="0.35">
      <c r="A3" s="68" t="s">
        <v>94</v>
      </c>
      <c r="B3" s="69">
        <v>3008812</v>
      </c>
    </row>
    <row r="4" spans="1:4" x14ac:dyDescent="0.35">
      <c r="A4" s="68" t="s">
        <v>95</v>
      </c>
      <c r="B4" s="69">
        <v>800000</v>
      </c>
    </row>
    <row r="5" spans="1:4" x14ac:dyDescent="0.35">
      <c r="A5" s="68" t="s">
        <v>96</v>
      </c>
      <c r="B5" s="69">
        <v>2443468</v>
      </c>
    </row>
    <row r="6" spans="1:4" x14ac:dyDescent="0.35">
      <c r="A6" s="68" t="s">
        <v>97</v>
      </c>
      <c r="B6" s="69">
        <v>1707733</v>
      </c>
    </row>
    <row r="7" spans="1:4" x14ac:dyDescent="0.35">
      <c r="A7" s="68" t="s">
        <v>98</v>
      </c>
      <c r="B7" s="69">
        <v>17984412</v>
      </c>
    </row>
    <row r="8" spans="1:4" x14ac:dyDescent="0.35">
      <c r="A8" s="68" t="s">
        <v>99</v>
      </c>
      <c r="B8" s="69">
        <v>2200584</v>
      </c>
    </row>
    <row r="9" spans="1:4" x14ac:dyDescent="0.35">
      <c r="A9" s="68" t="s">
        <v>100</v>
      </c>
      <c r="B9" s="69">
        <v>2354685</v>
      </c>
    </row>
    <row r="10" spans="1:4" x14ac:dyDescent="0.35">
      <c r="A10" s="68" t="s">
        <v>101</v>
      </c>
      <c r="B10" s="69">
        <v>800000</v>
      </c>
    </row>
    <row r="11" spans="1:4" x14ac:dyDescent="0.35">
      <c r="A11" s="68" t="s">
        <v>102</v>
      </c>
      <c r="B11" s="69">
        <v>800000</v>
      </c>
    </row>
    <row r="12" spans="1:4" x14ac:dyDescent="0.35">
      <c r="A12" s="68" t="s">
        <v>103</v>
      </c>
      <c r="B12" s="69">
        <v>9941092</v>
      </c>
    </row>
    <row r="13" spans="1:4" x14ac:dyDescent="0.35">
      <c r="A13" s="68" t="s">
        <v>104</v>
      </c>
      <c r="B13" s="69">
        <v>4345983</v>
      </c>
    </row>
    <row r="14" spans="1:4" x14ac:dyDescent="0.35">
      <c r="A14" s="68" t="s">
        <v>105</v>
      </c>
      <c r="B14" s="69">
        <v>800000</v>
      </c>
    </row>
    <row r="15" spans="1:4" x14ac:dyDescent="0.35">
      <c r="A15" s="68" t="s">
        <v>106</v>
      </c>
      <c r="B15" s="69">
        <v>800000</v>
      </c>
    </row>
    <row r="16" spans="1:4" x14ac:dyDescent="0.35">
      <c r="A16" s="68" t="s">
        <v>107</v>
      </c>
      <c r="B16" s="69">
        <v>8145623</v>
      </c>
    </row>
    <row r="17" spans="1:2" x14ac:dyDescent="0.35">
      <c r="A17" s="68" t="s">
        <v>108</v>
      </c>
      <c r="B17" s="69">
        <v>4258647</v>
      </c>
    </row>
    <row r="18" spans="1:2" x14ac:dyDescent="0.35">
      <c r="A18" s="68" t="s">
        <v>109</v>
      </c>
      <c r="B18" s="69">
        <v>2094894</v>
      </c>
    </row>
    <row r="19" spans="1:2" x14ac:dyDescent="0.35">
      <c r="A19" s="68" t="s">
        <v>110</v>
      </c>
      <c r="B19" s="69">
        <v>1704623</v>
      </c>
    </row>
    <row r="20" spans="1:2" x14ac:dyDescent="0.35">
      <c r="A20" s="68" t="s">
        <v>111</v>
      </c>
      <c r="B20" s="69">
        <v>2618787</v>
      </c>
    </row>
    <row r="21" spans="1:2" x14ac:dyDescent="0.35">
      <c r="A21" s="68" t="s">
        <v>112</v>
      </c>
      <c r="B21" s="69">
        <v>2856959</v>
      </c>
    </row>
    <row r="22" spans="1:2" x14ac:dyDescent="0.35">
      <c r="A22" s="68" t="s">
        <v>113</v>
      </c>
      <c r="B22" s="69">
        <v>1002763</v>
      </c>
    </row>
    <row r="23" spans="1:2" x14ac:dyDescent="0.35">
      <c r="A23" s="68" t="s">
        <v>114</v>
      </c>
      <c r="B23" s="69">
        <v>3222132</v>
      </c>
    </row>
    <row r="24" spans="1:2" x14ac:dyDescent="0.35">
      <c r="A24" s="68" t="s">
        <v>115</v>
      </c>
      <c r="B24" s="69">
        <v>4897191</v>
      </c>
    </row>
    <row r="25" spans="1:2" x14ac:dyDescent="0.35">
      <c r="A25" s="68" t="s">
        <v>116</v>
      </c>
      <c r="B25" s="69">
        <v>5960498</v>
      </c>
    </row>
    <row r="26" spans="1:2" x14ac:dyDescent="0.35">
      <c r="A26" s="68" t="s">
        <v>117</v>
      </c>
      <c r="B26" s="69">
        <v>3117243</v>
      </c>
    </row>
    <row r="27" spans="1:2" x14ac:dyDescent="0.35">
      <c r="A27" s="68" t="s">
        <v>118</v>
      </c>
      <c r="B27" s="69">
        <v>2015632</v>
      </c>
    </row>
    <row r="28" spans="1:2" x14ac:dyDescent="0.35">
      <c r="A28" s="68" t="s">
        <v>60</v>
      </c>
      <c r="B28" s="69">
        <v>3869022</v>
      </c>
    </row>
    <row r="29" spans="1:2" x14ac:dyDescent="0.35">
      <c r="A29" s="68" t="s">
        <v>119</v>
      </c>
      <c r="B29" s="69">
        <v>800000</v>
      </c>
    </row>
    <row r="30" spans="1:2" x14ac:dyDescent="0.35">
      <c r="A30" s="68" t="s">
        <v>120</v>
      </c>
      <c r="B30" s="69">
        <v>1228093</v>
      </c>
    </row>
    <row r="31" spans="1:2" x14ac:dyDescent="0.35">
      <c r="A31" s="68" t="s">
        <v>121</v>
      </c>
      <c r="B31" s="69">
        <v>923002</v>
      </c>
    </row>
    <row r="32" spans="1:2" x14ac:dyDescent="0.35">
      <c r="A32" s="68" t="s">
        <v>122</v>
      </c>
      <c r="B32" s="69">
        <v>813617</v>
      </c>
    </row>
    <row r="33" spans="1:2" x14ac:dyDescent="0.35">
      <c r="A33" s="68" t="s">
        <v>123</v>
      </c>
      <c r="B33" s="69">
        <v>6232884</v>
      </c>
    </row>
    <row r="34" spans="1:2" x14ac:dyDescent="0.35">
      <c r="A34" s="68" t="s">
        <v>124</v>
      </c>
      <c r="B34" s="69">
        <v>1512798</v>
      </c>
    </row>
    <row r="35" spans="1:2" x14ac:dyDescent="0.35">
      <c r="A35" s="68" t="s">
        <v>125</v>
      </c>
      <c r="B35" s="69">
        <v>12711085</v>
      </c>
    </row>
    <row r="36" spans="1:2" x14ac:dyDescent="0.35">
      <c r="A36" s="68" t="s">
        <v>126</v>
      </c>
      <c r="B36" s="69">
        <v>4731265</v>
      </c>
    </row>
    <row r="37" spans="1:2" x14ac:dyDescent="0.35">
      <c r="A37" s="68" t="s">
        <v>127</v>
      </c>
      <c r="B37" s="69">
        <v>800000</v>
      </c>
    </row>
    <row r="38" spans="1:2" x14ac:dyDescent="0.35">
      <c r="A38" s="68" t="s">
        <v>128</v>
      </c>
      <c r="B38" s="69">
        <v>6958457</v>
      </c>
    </row>
    <row r="39" spans="1:2" x14ac:dyDescent="0.35">
      <c r="A39" s="68" t="s">
        <v>129</v>
      </c>
      <c r="B39" s="69">
        <v>2272091</v>
      </c>
    </row>
    <row r="40" spans="1:2" x14ac:dyDescent="0.35">
      <c r="A40" s="68" t="s">
        <v>130</v>
      </c>
      <c r="B40" s="69">
        <v>1963089</v>
      </c>
    </row>
    <row r="41" spans="1:2" x14ac:dyDescent="0.35">
      <c r="A41" s="68" t="s">
        <v>131</v>
      </c>
      <c r="B41" s="69">
        <v>6634827</v>
      </c>
    </row>
    <row r="42" spans="1:2" x14ac:dyDescent="0.35">
      <c r="A42" s="68" t="s">
        <v>132</v>
      </c>
      <c r="B42" s="69">
        <v>800000</v>
      </c>
    </row>
    <row r="43" spans="1:2" x14ac:dyDescent="0.35">
      <c r="A43" s="68" t="s">
        <v>133</v>
      </c>
      <c r="B43" s="69">
        <v>2795030</v>
      </c>
    </row>
    <row r="44" spans="1:2" x14ac:dyDescent="0.35">
      <c r="A44" s="68" t="s">
        <v>134</v>
      </c>
      <c r="B44" s="69">
        <v>800000</v>
      </c>
    </row>
    <row r="45" spans="1:2" x14ac:dyDescent="0.35">
      <c r="A45" s="68" t="s">
        <v>135</v>
      </c>
      <c r="B45" s="69">
        <v>3860646</v>
      </c>
    </row>
    <row r="46" spans="1:2" x14ac:dyDescent="0.35">
      <c r="A46" s="68" t="s">
        <v>136</v>
      </c>
      <c r="B46" s="69">
        <v>14214325</v>
      </c>
    </row>
    <row r="47" spans="1:2" x14ac:dyDescent="0.35">
      <c r="A47" s="68" t="s">
        <v>137</v>
      </c>
      <c r="B47" s="69">
        <v>1659138</v>
      </c>
    </row>
    <row r="48" spans="1:2" x14ac:dyDescent="0.35">
      <c r="A48" s="68" t="s">
        <v>138</v>
      </c>
      <c r="B48" s="69">
        <v>800000</v>
      </c>
    </row>
    <row r="49" spans="1:2" x14ac:dyDescent="0.35">
      <c r="A49" s="68" t="s">
        <v>139</v>
      </c>
      <c r="B49" s="69">
        <v>4452812</v>
      </c>
    </row>
    <row r="50" spans="1:2" x14ac:dyDescent="0.35">
      <c r="A50" s="68" t="s">
        <v>140</v>
      </c>
      <c r="B50" s="69">
        <v>3295641</v>
      </c>
    </row>
    <row r="51" spans="1:2" x14ac:dyDescent="0.35">
      <c r="A51" s="68" t="s">
        <v>141</v>
      </c>
      <c r="B51" s="69">
        <v>1396699</v>
      </c>
    </row>
    <row r="52" spans="1:2" x14ac:dyDescent="0.35">
      <c r="A52" s="68" t="s">
        <v>142</v>
      </c>
      <c r="B52" s="69">
        <v>3399822</v>
      </c>
    </row>
    <row r="53" spans="1:2" x14ac:dyDescent="0.35">
      <c r="A53" s="68" t="s">
        <v>143</v>
      </c>
      <c r="B53" s="69">
        <v>800000</v>
      </c>
    </row>
    <row r="54" spans="1:2" x14ac:dyDescent="0.35">
      <c r="A54" s="68" t="s">
        <v>144</v>
      </c>
      <c r="B54" s="69">
        <v>1418440</v>
      </c>
    </row>
    <row r="55" spans="1:2" x14ac:dyDescent="0.35">
      <c r="A55" s="68" t="s">
        <v>145</v>
      </c>
      <c r="B55" s="69">
        <v>418216.75</v>
      </c>
    </row>
    <row r="56" spans="1:2" x14ac:dyDescent="0.35">
      <c r="A56" s="68" t="s">
        <v>146</v>
      </c>
      <c r="B56" s="69"/>
    </row>
    <row r="57" spans="1:2" x14ac:dyDescent="0.35">
      <c r="A57" s="68" t="s">
        <v>147</v>
      </c>
      <c r="B57" s="69"/>
    </row>
    <row r="58" spans="1:2" x14ac:dyDescent="0.35">
      <c r="A58" s="68" t="s">
        <v>148</v>
      </c>
      <c r="B58" s="69"/>
    </row>
    <row r="59" spans="1:2" x14ac:dyDescent="0.35">
      <c r="A59" s="68" t="s">
        <v>149</v>
      </c>
      <c r="B59" s="69"/>
    </row>
    <row r="60" spans="1:2" x14ac:dyDescent="0.35">
      <c r="A60" s="68" t="s">
        <v>150</v>
      </c>
      <c r="B60" s="69"/>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sheetPr>
  <dimension ref="A1:N70"/>
  <sheetViews>
    <sheetView showGridLines="0" workbookViewId="0"/>
  </sheetViews>
  <sheetFormatPr defaultColWidth="0" defaultRowHeight="14.5" zeroHeight="1" x14ac:dyDescent="0.35"/>
  <cols>
    <col min="1" max="1" width="31.54296875" customWidth="1"/>
    <col min="2" max="2" width="2.81640625" customWidth="1"/>
    <col min="3" max="3" width="61.26953125" customWidth="1"/>
    <col min="4" max="11" width="16.54296875" customWidth="1"/>
    <col min="12" max="12" width="21.7265625" customWidth="1"/>
    <col min="13" max="13" width="17.1796875" customWidth="1"/>
    <col min="14" max="14" width="9.1796875" customWidth="1"/>
    <col min="15" max="16384" width="9.1796875" hidden="1"/>
  </cols>
  <sheetData>
    <row r="1" spans="1:14" ht="28.75" customHeight="1" x14ac:dyDescent="0.35">
      <c r="A1" s="77" t="s">
        <v>57</v>
      </c>
      <c r="C1" s="52" t="s">
        <v>11</v>
      </c>
      <c r="D1" s="11"/>
      <c r="E1" s="11"/>
      <c r="F1" s="11"/>
      <c r="G1" s="11"/>
      <c r="H1" s="11"/>
      <c r="I1" s="11"/>
      <c r="J1" s="11"/>
      <c r="K1" s="11"/>
      <c r="L1" s="11"/>
      <c r="M1" s="11"/>
    </row>
    <row r="2" spans="1:14" ht="47.5" customHeight="1" x14ac:dyDescent="0.35">
      <c r="A2" s="80" t="s">
        <v>6</v>
      </c>
      <c r="C2" s="116" t="str">
        <f>IF(C44="","","Alert: Check rows 33-40 below the table for important warning messages. Refer to column A for specific warning types.")</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4" ht="58" x14ac:dyDescent="0.35">
      <c r="A3" s="80" t="s">
        <v>9</v>
      </c>
      <c r="C3" s="117" t="s">
        <v>151</v>
      </c>
      <c r="D3" s="48" t="s">
        <v>152</v>
      </c>
      <c r="E3" s="54" t="s">
        <v>153</v>
      </c>
      <c r="F3" s="55" t="s">
        <v>154</v>
      </c>
      <c r="G3" s="56" t="s">
        <v>155</v>
      </c>
      <c r="H3" s="57" t="s">
        <v>156</v>
      </c>
      <c r="I3" s="50" t="s">
        <v>157</v>
      </c>
      <c r="J3" s="49" t="s">
        <v>158</v>
      </c>
      <c r="K3" s="50" t="s">
        <v>159</v>
      </c>
      <c r="L3" s="58" t="s">
        <v>160</v>
      </c>
      <c r="M3" s="59" t="s">
        <v>161</v>
      </c>
    </row>
    <row r="4" spans="1:14" ht="15.5" x14ac:dyDescent="0.35">
      <c r="A4" s="80" t="s">
        <v>11</v>
      </c>
      <c r="C4" s="93" t="s">
        <v>13</v>
      </c>
      <c r="D4" s="89"/>
      <c r="E4" s="90"/>
      <c r="F4" s="91"/>
      <c r="G4" s="92"/>
      <c r="H4" s="89"/>
      <c r="I4" s="92"/>
      <c r="J4" s="91"/>
      <c r="K4" s="92"/>
      <c r="L4" s="89"/>
      <c r="M4" s="90"/>
    </row>
    <row r="5" spans="1:14" x14ac:dyDescent="0.35">
      <c r="A5" s="95" t="s">
        <v>66</v>
      </c>
      <c r="C5" s="122" t="s">
        <v>14</v>
      </c>
      <c r="D5" s="14">
        <f>'a. Part B Administration'!D24</f>
        <v>4763646</v>
      </c>
      <c r="E5" s="27">
        <f>'a. Part B Administration'!E24</f>
        <v>4763646</v>
      </c>
      <c r="F5" s="27">
        <f>'a. Part B Administration'!F24</f>
        <v>2751379</v>
      </c>
      <c r="G5" s="26">
        <f>'a. Part B Administration'!G24</f>
        <v>2012267</v>
      </c>
      <c r="H5" s="14">
        <f>'a. Part B Administration'!H24</f>
        <v>2012267</v>
      </c>
      <c r="I5" s="27">
        <f>'a. Part B Administration'!I24</f>
        <v>2012267</v>
      </c>
      <c r="J5" s="27">
        <f>'a. Part B Administration'!J24</f>
        <v>1870216</v>
      </c>
      <c r="K5" s="28">
        <f>'a. Part B Administration'!K24</f>
        <v>142051</v>
      </c>
      <c r="L5" s="14">
        <f>'a. Part B Administration'!L24</f>
        <v>142043</v>
      </c>
      <c r="M5" s="27">
        <f>'a. Part B Administration'!M24</f>
        <v>8</v>
      </c>
    </row>
    <row r="6" spans="1:14" ht="15" thickBot="1" x14ac:dyDescent="0.4">
      <c r="A6" s="78" t="s">
        <v>14</v>
      </c>
      <c r="C6" s="122" t="s">
        <v>16</v>
      </c>
      <c r="D6" s="13">
        <f>'b. Part C Administration'!D24</f>
        <v>0</v>
      </c>
      <c r="E6" s="9">
        <f>'b. Part C Administration'!E24</f>
        <v>0</v>
      </c>
      <c r="F6" s="9">
        <f>'b. Part C Administration'!F24</f>
        <v>0</v>
      </c>
      <c r="G6" s="12">
        <f>'b. Part C Administration'!G24</f>
        <v>0</v>
      </c>
      <c r="H6" s="13">
        <f>'b. Part C Administration'!H24</f>
        <v>0</v>
      </c>
      <c r="I6" s="9">
        <f>'b. Part C Administration'!I24</f>
        <v>0</v>
      </c>
      <c r="J6" s="9">
        <f>'b. Part C Administration'!J24</f>
        <v>0</v>
      </c>
      <c r="K6" s="29">
        <f>'b. Part C Administration'!K24</f>
        <v>0</v>
      </c>
      <c r="L6" s="13">
        <f>'b. Part C Administration'!L24</f>
        <v>0</v>
      </c>
      <c r="M6" s="9">
        <f>'b. Part C Administration'!M24</f>
        <v>0</v>
      </c>
    </row>
    <row r="7" spans="1:14" x14ac:dyDescent="0.35">
      <c r="A7" s="78" t="s">
        <v>16</v>
      </c>
      <c r="C7" s="45" t="s">
        <v>162</v>
      </c>
      <c r="D7" s="24"/>
      <c r="E7" s="21"/>
      <c r="F7" s="22"/>
      <c r="G7" s="23"/>
      <c r="H7" s="24"/>
      <c r="I7" s="21"/>
      <c r="J7" s="21"/>
      <c r="K7" s="30"/>
      <c r="L7" s="24"/>
      <c r="M7" s="25"/>
    </row>
    <row r="8" spans="1:14" x14ac:dyDescent="0.35">
      <c r="A8" s="78" t="s">
        <v>18</v>
      </c>
      <c r="C8" s="46" t="s">
        <v>18</v>
      </c>
      <c r="D8" s="14">
        <f>'c. Support and Direct Services'!D24</f>
        <v>0</v>
      </c>
      <c r="E8" s="27">
        <f>'c. Support and Direct Services'!E24</f>
        <v>0</v>
      </c>
      <c r="F8" s="27">
        <f>'c. Support and Direct Services'!F24</f>
        <v>0</v>
      </c>
      <c r="G8" s="26">
        <f>'c. Support and Direct Services'!G24</f>
        <v>0</v>
      </c>
      <c r="H8" s="14">
        <f>'c. Support and Direct Services'!H24</f>
        <v>0</v>
      </c>
      <c r="I8" s="27">
        <f>'c. Support and Direct Services'!I24</f>
        <v>0</v>
      </c>
      <c r="J8" s="27">
        <f>'c. Support and Direct Services'!J24</f>
        <v>0</v>
      </c>
      <c r="K8" s="28">
        <f>'c. Support and Direct Services'!K24</f>
        <v>0</v>
      </c>
      <c r="L8" s="14">
        <f>'c. Support and Direct Services'!L24</f>
        <v>0</v>
      </c>
      <c r="M8" s="27">
        <f>'c. Support and Direct Services'!M24</f>
        <v>0</v>
      </c>
    </row>
    <row r="9" spans="1:14" x14ac:dyDescent="0.35">
      <c r="A9" s="78" t="s">
        <v>20</v>
      </c>
      <c r="C9" s="46" t="s">
        <v>163</v>
      </c>
      <c r="D9" s="14">
        <f>'d. PBIS and Mental Health'!D24</f>
        <v>0</v>
      </c>
      <c r="E9" s="27">
        <f>'d. PBIS and Mental Health'!E24</f>
        <v>0</v>
      </c>
      <c r="F9" s="27">
        <f>'d. PBIS and Mental Health'!F24</f>
        <v>0</v>
      </c>
      <c r="G9" s="26">
        <f>'d. PBIS and Mental Health'!G24</f>
        <v>0</v>
      </c>
      <c r="H9" s="14">
        <f>'d. PBIS and Mental Health'!H24</f>
        <v>0</v>
      </c>
      <c r="I9" s="27">
        <f>'d. PBIS and Mental Health'!I24</f>
        <v>0</v>
      </c>
      <c r="J9" s="27">
        <f>'d. PBIS and Mental Health'!J24</f>
        <v>0</v>
      </c>
      <c r="K9" s="28">
        <f>'d. PBIS and Mental Health'!K24</f>
        <v>0</v>
      </c>
      <c r="L9" s="14">
        <f>'d. PBIS and Mental Health'!L24</f>
        <v>0</v>
      </c>
      <c r="M9" s="27">
        <f>'d. PBIS and Mental Health'!M24</f>
        <v>0</v>
      </c>
    </row>
    <row r="10" spans="1:14" x14ac:dyDescent="0.35">
      <c r="A10" s="78" t="s">
        <v>22</v>
      </c>
      <c r="C10" s="46" t="s">
        <v>164</v>
      </c>
      <c r="D10" s="14">
        <f>'e. Personnel Shortages'!D24</f>
        <v>0</v>
      </c>
      <c r="E10" s="27">
        <f>'e. Personnel Shortages'!E24</f>
        <v>0</v>
      </c>
      <c r="F10" s="27">
        <f>'e. Personnel Shortages'!F24</f>
        <v>0</v>
      </c>
      <c r="G10" s="26">
        <f>'e. Personnel Shortages'!G24</f>
        <v>0</v>
      </c>
      <c r="H10" s="14">
        <f>'e. Personnel Shortages'!H24</f>
        <v>0</v>
      </c>
      <c r="I10" s="27">
        <f>'e. Personnel Shortages'!I24</f>
        <v>0</v>
      </c>
      <c r="J10" s="27">
        <f>'e. Personnel Shortages'!J24</f>
        <v>0</v>
      </c>
      <c r="K10" s="28">
        <f>'e. Personnel Shortages'!K24</f>
        <v>0</v>
      </c>
      <c r="L10" s="14">
        <f>'e. Personnel Shortages'!L24</f>
        <v>0</v>
      </c>
      <c r="M10" s="27">
        <f>'e. Personnel Shortages'!M24</f>
        <v>0</v>
      </c>
    </row>
    <row r="11" spans="1:14" x14ac:dyDescent="0.35">
      <c r="A11" s="78" t="s">
        <v>24</v>
      </c>
      <c r="C11" s="46" t="s">
        <v>165</v>
      </c>
      <c r="D11" s="14">
        <f>'f. Capacity Building'!D24</f>
        <v>0</v>
      </c>
      <c r="E11" s="27">
        <f>'f. Capacity Building'!E24</f>
        <v>0</v>
      </c>
      <c r="F11" s="27">
        <f>'f. Capacity Building'!F24</f>
        <v>0</v>
      </c>
      <c r="G11" s="26">
        <f>'f. Capacity Building'!G24</f>
        <v>0</v>
      </c>
      <c r="H11" s="14">
        <f>'f. Capacity Building'!H24</f>
        <v>0</v>
      </c>
      <c r="I11" s="27">
        <f>'f. Capacity Building'!I24</f>
        <v>0</v>
      </c>
      <c r="J11" s="27">
        <f>'f. Capacity Building'!J24</f>
        <v>0</v>
      </c>
      <c r="K11" s="28">
        <f>'f. Capacity Building'!K24</f>
        <v>0</v>
      </c>
      <c r="L11" s="14">
        <f>'f. Capacity Building'!L24</f>
        <v>0</v>
      </c>
      <c r="M11" s="27">
        <f>'f. Capacity Building'!M24</f>
        <v>0</v>
      </c>
    </row>
    <row r="12" spans="1:14" ht="15" thickBot="1" x14ac:dyDescent="0.4">
      <c r="A12" s="78" t="s">
        <v>26</v>
      </c>
      <c r="C12" s="121" t="s">
        <v>166</v>
      </c>
      <c r="D12" s="13">
        <f t="shared" ref="D12:M12" si="0">SUM(D8:D11)</f>
        <v>0</v>
      </c>
      <c r="E12" s="9">
        <f t="shared" si="0"/>
        <v>0</v>
      </c>
      <c r="F12" s="12">
        <f t="shared" si="0"/>
        <v>0</v>
      </c>
      <c r="G12" s="12">
        <f t="shared" si="0"/>
        <v>0</v>
      </c>
      <c r="H12" s="31">
        <f t="shared" si="0"/>
        <v>0</v>
      </c>
      <c r="I12" s="32">
        <f t="shared" si="0"/>
        <v>0</v>
      </c>
      <c r="J12" s="32">
        <f t="shared" si="0"/>
        <v>0</v>
      </c>
      <c r="K12" s="33">
        <f t="shared" si="0"/>
        <v>0</v>
      </c>
      <c r="L12" s="31">
        <f t="shared" si="0"/>
        <v>0</v>
      </c>
      <c r="M12" s="33">
        <f t="shared" si="0"/>
        <v>0</v>
      </c>
    </row>
    <row r="13" spans="1:14" x14ac:dyDescent="0.35">
      <c r="A13" s="95" t="s">
        <v>28</v>
      </c>
      <c r="C13" s="47" t="s">
        <v>26</v>
      </c>
      <c r="D13" s="24">
        <f>'g. Joint Part C Policy'!D24</f>
        <v>900000</v>
      </c>
      <c r="E13" s="21">
        <f>'g. Joint Part C Policy'!E24</f>
        <v>900000</v>
      </c>
      <c r="F13" s="21">
        <f>'g. Joint Part C Policy'!F24</f>
        <v>405000</v>
      </c>
      <c r="G13" s="22">
        <f>'g. Joint Part C Policy'!G24</f>
        <v>495000</v>
      </c>
      <c r="H13" s="24">
        <f>'g. Joint Part C Policy'!H24</f>
        <v>495000</v>
      </c>
      <c r="I13" s="21">
        <f>'g. Joint Part C Policy'!I24</f>
        <v>495000</v>
      </c>
      <c r="J13" s="21">
        <f>'g. Joint Part C Policy'!J24</f>
        <v>495000</v>
      </c>
      <c r="K13" s="30">
        <f>'g. Joint Part C Policy'!K24</f>
        <v>0</v>
      </c>
      <c r="L13" s="24">
        <f>'g. Joint Part C Policy'!L24</f>
        <v>0</v>
      </c>
      <c r="M13" s="30">
        <f>'g. Joint Part C Policy'!M24</f>
        <v>0</v>
      </c>
    </row>
    <row r="14" spans="1:14" ht="16" thickBot="1" x14ac:dyDescent="0.4">
      <c r="A14" s="78" t="s">
        <v>29</v>
      </c>
      <c r="C14" s="101" t="s">
        <v>167</v>
      </c>
      <c r="D14" s="102">
        <f t="shared" ref="D14:M14" si="1">SUM(D5,D6,D12,D13)</f>
        <v>5663646</v>
      </c>
      <c r="E14" s="103">
        <f t="shared" si="1"/>
        <v>5663646</v>
      </c>
      <c r="F14" s="104">
        <f t="shared" si="1"/>
        <v>3156379</v>
      </c>
      <c r="G14" s="104">
        <f t="shared" si="1"/>
        <v>2507267</v>
      </c>
      <c r="H14" s="102">
        <f t="shared" si="1"/>
        <v>2507267</v>
      </c>
      <c r="I14" s="104">
        <f t="shared" si="1"/>
        <v>2507267</v>
      </c>
      <c r="J14" s="104">
        <f t="shared" si="1"/>
        <v>2365216</v>
      </c>
      <c r="K14" s="104">
        <f t="shared" si="1"/>
        <v>142051</v>
      </c>
      <c r="L14" s="102">
        <f t="shared" si="1"/>
        <v>142043</v>
      </c>
      <c r="M14" s="104">
        <f t="shared" si="1"/>
        <v>8</v>
      </c>
    </row>
    <row r="15" spans="1:14" ht="16" thickTop="1" x14ac:dyDescent="0.35">
      <c r="A15" s="78" t="s">
        <v>31</v>
      </c>
      <c r="C15" s="96" t="s">
        <v>168</v>
      </c>
      <c r="D15" s="97"/>
      <c r="E15" s="98"/>
      <c r="F15" s="98"/>
      <c r="G15" s="99"/>
      <c r="H15" s="97"/>
      <c r="I15" s="99"/>
      <c r="J15" s="99"/>
      <c r="K15" s="100"/>
      <c r="L15" s="97"/>
      <c r="M15" s="99"/>
    </row>
    <row r="16" spans="1:14" x14ac:dyDescent="0.35">
      <c r="A16" s="78" t="s">
        <v>33</v>
      </c>
      <c r="C16" s="86" t="s">
        <v>29</v>
      </c>
      <c r="D16" s="14">
        <f>'h. Monitoring and Enforcement'!D24</f>
        <v>240000</v>
      </c>
      <c r="E16" s="27">
        <f>'h. Monitoring and Enforcement'!E24</f>
        <v>240000</v>
      </c>
      <c r="F16" s="27">
        <f>'h. Monitoring and Enforcement'!F24</f>
        <v>120500</v>
      </c>
      <c r="G16" s="26">
        <f>'h. Monitoring and Enforcement'!G24</f>
        <v>119500</v>
      </c>
      <c r="H16" s="14">
        <f>'h. Monitoring and Enforcement'!H24</f>
        <v>119500</v>
      </c>
      <c r="I16" s="27">
        <f>'h. Monitoring and Enforcement'!I24</f>
        <v>119500</v>
      </c>
      <c r="J16" s="26">
        <f>'h. Monitoring and Enforcement'!J24</f>
        <v>119500</v>
      </c>
      <c r="K16" s="88">
        <f>'h. Monitoring and Enforcement'!K24</f>
        <v>0</v>
      </c>
      <c r="L16" s="14">
        <f>'h. Monitoring and Enforcement'!L24</f>
        <v>0</v>
      </c>
      <c r="M16" s="26">
        <f>'h. Monitoring and Enforcement'!M24</f>
        <v>0</v>
      </c>
      <c r="N16" s="19"/>
    </row>
    <row r="17" spans="1:13" x14ac:dyDescent="0.35">
      <c r="A17" s="78" t="s">
        <v>35</v>
      </c>
      <c r="C17" s="87" t="s">
        <v>31</v>
      </c>
      <c r="D17" s="14">
        <f>'i. Mediation Process'!D24</f>
        <v>355000</v>
      </c>
      <c r="E17" s="27">
        <f>'i. Mediation Process'!E24</f>
        <v>355000</v>
      </c>
      <c r="F17" s="27">
        <f>'i. Mediation Process'!F24</f>
        <v>182400</v>
      </c>
      <c r="G17" s="26">
        <f>'i. Mediation Process'!G24</f>
        <v>172600</v>
      </c>
      <c r="H17" s="14">
        <f>'i. Mediation Process'!H24</f>
        <v>172600</v>
      </c>
      <c r="I17" s="27">
        <f>'i. Mediation Process'!I24</f>
        <v>172600</v>
      </c>
      <c r="J17" s="26">
        <f>'i. Mediation Process'!J24</f>
        <v>172600</v>
      </c>
      <c r="K17" s="88">
        <f>'i. Mediation Process'!K24</f>
        <v>0</v>
      </c>
      <c r="L17" s="14">
        <f>'i. Mediation Process'!L24</f>
        <v>0</v>
      </c>
      <c r="M17" s="26">
        <f>'i. Mediation Process'!M24</f>
        <v>0</v>
      </c>
    </row>
    <row r="18" spans="1:13" x14ac:dyDescent="0.35">
      <c r="A18" s="78" t="s">
        <v>37</v>
      </c>
      <c r="C18" s="87" t="s">
        <v>33</v>
      </c>
      <c r="D18" s="14">
        <f>'j. Support and Direct Services'!D24</f>
        <v>2759023</v>
      </c>
      <c r="E18" s="27">
        <f>'j. Support and Direct Services'!E24</f>
        <v>2759023</v>
      </c>
      <c r="F18" s="27">
        <f>'j. Support and Direct Services'!F24</f>
        <v>1687858</v>
      </c>
      <c r="G18" s="26">
        <f>'j. Support and Direct Services'!G24</f>
        <v>1071165</v>
      </c>
      <c r="H18" s="14">
        <f>'j. Support and Direct Services'!H24</f>
        <v>1071165</v>
      </c>
      <c r="I18" s="27">
        <f>'j. Support and Direct Services'!I24</f>
        <v>1071165</v>
      </c>
      <c r="J18" s="26">
        <f>'j. Support and Direct Services'!J24</f>
        <v>1046078</v>
      </c>
      <c r="K18" s="88">
        <f>'j. Support and Direct Services'!K24</f>
        <v>25087</v>
      </c>
      <c r="L18" s="14">
        <f>'j. Support and Direct Services'!L24</f>
        <v>13977</v>
      </c>
      <c r="M18" s="26">
        <f>'j. Support and Direct Services'!M24</f>
        <v>11110</v>
      </c>
    </row>
    <row r="19" spans="1:13" x14ac:dyDescent="0.35">
      <c r="A19" s="78" t="s">
        <v>39</v>
      </c>
      <c r="C19" s="87" t="s">
        <v>169</v>
      </c>
      <c r="D19" s="14">
        <f>'k. PBIS and Mental Health'!D24</f>
        <v>2816840</v>
      </c>
      <c r="E19" s="27">
        <f>'k. PBIS and Mental Health'!E24</f>
        <v>2816840</v>
      </c>
      <c r="F19" s="27">
        <f>'k. PBIS and Mental Health'!F24</f>
        <v>1435847</v>
      </c>
      <c r="G19" s="26">
        <f>'k. PBIS and Mental Health'!G24</f>
        <v>1380993</v>
      </c>
      <c r="H19" s="14">
        <f>'k. PBIS and Mental Health'!H24</f>
        <v>1380993</v>
      </c>
      <c r="I19" s="27">
        <f>'k. PBIS and Mental Health'!I24</f>
        <v>1380993</v>
      </c>
      <c r="J19" s="26">
        <f>'k. PBIS and Mental Health'!J24</f>
        <v>1247884</v>
      </c>
      <c r="K19" s="88">
        <f>'k. PBIS and Mental Health'!K24</f>
        <v>133109</v>
      </c>
      <c r="L19" s="14">
        <f>'k. PBIS and Mental Health'!L24</f>
        <v>133109</v>
      </c>
      <c r="M19" s="26">
        <f>'k. PBIS and Mental Health'!M24</f>
        <v>0</v>
      </c>
    </row>
    <row r="20" spans="1:13" x14ac:dyDescent="0.35">
      <c r="A20" s="78" t="s">
        <v>41</v>
      </c>
      <c r="C20" s="87" t="s">
        <v>170</v>
      </c>
      <c r="D20" s="14">
        <f>'l. Personnel Shortages'!D24</f>
        <v>190648</v>
      </c>
      <c r="E20" s="27">
        <f>'l. Personnel Shortages'!E24</f>
        <v>190648</v>
      </c>
      <c r="F20" s="27">
        <f>'l. Personnel Shortages'!F24</f>
        <v>87600</v>
      </c>
      <c r="G20" s="26">
        <f>'l. Personnel Shortages'!G24</f>
        <v>103048</v>
      </c>
      <c r="H20" s="14">
        <f>'l. Personnel Shortages'!H24</f>
        <v>103048</v>
      </c>
      <c r="I20" s="27">
        <f>'l. Personnel Shortages'!I24</f>
        <v>103048</v>
      </c>
      <c r="J20" s="26">
        <f>'l. Personnel Shortages'!J24</f>
        <v>103048</v>
      </c>
      <c r="K20" s="88">
        <f>'l. Personnel Shortages'!K24</f>
        <v>0</v>
      </c>
      <c r="L20" s="14">
        <f>'l. Personnel Shortages'!L24</f>
        <v>0</v>
      </c>
      <c r="M20" s="26">
        <f>'l. Personnel Shortages'!M24</f>
        <v>0</v>
      </c>
    </row>
    <row r="21" spans="1:13" x14ac:dyDescent="0.35">
      <c r="A21" s="78" t="s">
        <v>43</v>
      </c>
      <c r="C21" s="87" t="s">
        <v>39</v>
      </c>
      <c r="D21" s="14">
        <f>'m. Capacity Building'!D24</f>
        <v>32000</v>
      </c>
      <c r="E21" s="27">
        <f>'m. Capacity Building'!E24</f>
        <v>32000</v>
      </c>
      <c r="F21" s="27">
        <f>'m. Capacity Building'!F24</f>
        <v>0</v>
      </c>
      <c r="G21" s="26">
        <f>'m. Capacity Building'!G24</f>
        <v>32000</v>
      </c>
      <c r="H21" s="14">
        <f>'m. Capacity Building'!H24</f>
        <v>32000</v>
      </c>
      <c r="I21" s="27">
        <f>'m. Capacity Building'!I24</f>
        <v>32000</v>
      </c>
      <c r="J21" s="26">
        <f>'m. Capacity Building'!J24</f>
        <v>32000</v>
      </c>
      <c r="K21" s="88">
        <f>'m. Capacity Building'!K24</f>
        <v>0</v>
      </c>
      <c r="L21" s="14">
        <f>'m. Capacity Building'!L24</f>
        <v>0</v>
      </c>
      <c r="M21" s="26">
        <f>'m. Capacity Building'!M24</f>
        <v>0</v>
      </c>
    </row>
    <row r="22" spans="1:13" x14ac:dyDescent="0.35">
      <c r="A22" s="78" t="s">
        <v>45</v>
      </c>
      <c r="C22" s="87" t="s">
        <v>41</v>
      </c>
      <c r="D22" s="14">
        <f>'n. Paperwork Reduction'!D24</f>
        <v>207700</v>
      </c>
      <c r="E22" s="27">
        <f>'n. Paperwork Reduction'!E24</f>
        <v>207700</v>
      </c>
      <c r="F22" s="27">
        <f>'n. Paperwork Reduction'!F24</f>
        <v>104850</v>
      </c>
      <c r="G22" s="26">
        <f>'n. Paperwork Reduction'!G24</f>
        <v>102850</v>
      </c>
      <c r="H22" s="14">
        <f>'n. Paperwork Reduction'!H24</f>
        <v>102850</v>
      </c>
      <c r="I22" s="27">
        <f>'n. Paperwork Reduction'!I24</f>
        <v>102850</v>
      </c>
      <c r="J22" s="26">
        <f>'n. Paperwork Reduction'!J24</f>
        <v>100080</v>
      </c>
      <c r="K22" s="88">
        <f>'n. Paperwork Reduction'!K24</f>
        <v>2770</v>
      </c>
      <c r="L22" s="14">
        <f>'n. Paperwork Reduction'!L24</f>
        <v>0</v>
      </c>
      <c r="M22" s="26">
        <f>'n. Paperwork Reduction'!M24</f>
        <v>2770</v>
      </c>
    </row>
    <row r="23" spans="1:13" x14ac:dyDescent="0.35">
      <c r="A23" s="78" t="s">
        <v>47</v>
      </c>
      <c r="C23" s="87" t="s">
        <v>43</v>
      </c>
      <c r="D23" s="14">
        <f>'o. Improve Tech Use in Class'!D24</f>
        <v>0</v>
      </c>
      <c r="E23" s="27">
        <f>'o. Improve Tech Use in Class'!E24</f>
        <v>0</v>
      </c>
      <c r="F23" s="27">
        <f>'o. Improve Tech Use in Class'!F24</f>
        <v>0</v>
      </c>
      <c r="G23" s="26">
        <f>'o. Improve Tech Use in Class'!G24</f>
        <v>0</v>
      </c>
      <c r="H23" s="14">
        <f>'o. Improve Tech Use in Class'!H24</f>
        <v>0</v>
      </c>
      <c r="I23" s="27">
        <f>'o. Improve Tech Use in Class'!I24</f>
        <v>0</v>
      </c>
      <c r="J23" s="26">
        <f>'o. Improve Tech Use in Class'!J24</f>
        <v>0</v>
      </c>
      <c r="K23" s="88">
        <f>'o. Improve Tech Use in Class'!K24</f>
        <v>0</v>
      </c>
      <c r="L23" s="14">
        <f>'o. Improve Tech Use in Class'!L24</f>
        <v>0</v>
      </c>
      <c r="M23" s="26">
        <f>'o. Improve Tech Use in Class'!M24</f>
        <v>0</v>
      </c>
    </row>
    <row r="24" spans="1:13" x14ac:dyDescent="0.35">
      <c r="A24" s="78" t="s">
        <v>49</v>
      </c>
      <c r="C24" s="87" t="s">
        <v>45</v>
      </c>
      <c r="D24" s="14">
        <f>'p. Technology for Access'!D24</f>
        <v>600000</v>
      </c>
      <c r="E24" s="27">
        <f>'p. Technology for Access'!E24</f>
        <v>600000</v>
      </c>
      <c r="F24" s="27">
        <f>'p. Technology for Access'!F24</f>
        <v>300000</v>
      </c>
      <c r="G24" s="26">
        <f>'p. Technology for Access'!G24</f>
        <v>300000</v>
      </c>
      <c r="H24" s="14">
        <f>'p. Technology for Access'!H24</f>
        <v>300000</v>
      </c>
      <c r="I24" s="27">
        <f>'p. Technology for Access'!I24</f>
        <v>300000</v>
      </c>
      <c r="J24" s="26">
        <f>'p. Technology for Access'!J24</f>
        <v>300000</v>
      </c>
      <c r="K24" s="88">
        <f>'p. Technology for Access'!K24</f>
        <v>0</v>
      </c>
      <c r="L24" s="14">
        <f>'p. Technology for Access'!L24</f>
        <v>0</v>
      </c>
      <c r="M24" s="26">
        <f>'p. Technology for Access'!M24</f>
        <v>0</v>
      </c>
    </row>
    <row r="25" spans="1:13" x14ac:dyDescent="0.35">
      <c r="A25" s="78" t="s">
        <v>51</v>
      </c>
      <c r="C25" s="87" t="s">
        <v>47</v>
      </c>
      <c r="D25" s="14">
        <f>'q. Transition Programs'!D24</f>
        <v>373000</v>
      </c>
      <c r="E25" s="27">
        <f>'q. Transition Programs'!E24</f>
        <v>373000</v>
      </c>
      <c r="F25" s="27">
        <f>'q. Transition Programs'!F24</f>
        <v>203800</v>
      </c>
      <c r="G25" s="26">
        <f>'q. Transition Programs'!G24</f>
        <v>169200</v>
      </c>
      <c r="H25" s="14">
        <f>'q. Transition Programs'!H24</f>
        <v>169200</v>
      </c>
      <c r="I25" s="27">
        <f>'q. Transition Programs'!I24</f>
        <v>169200</v>
      </c>
      <c r="J25" s="26">
        <f>'q. Transition Programs'!J24</f>
        <v>169200</v>
      </c>
      <c r="K25" s="88">
        <f>'q. Transition Programs'!K24</f>
        <v>0</v>
      </c>
      <c r="L25" s="14">
        <f>'q. Transition Programs'!L24</f>
        <v>0</v>
      </c>
      <c r="M25" s="26">
        <f>'q. Transition Programs'!M24</f>
        <v>0</v>
      </c>
    </row>
    <row r="26" spans="1:13" x14ac:dyDescent="0.35">
      <c r="A26" s="79" t="s">
        <v>53</v>
      </c>
      <c r="C26" s="87" t="s">
        <v>49</v>
      </c>
      <c r="D26" s="14">
        <f>'r. Alternative Programming'!D24</f>
        <v>1898705</v>
      </c>
      <c r="E26" s="27">
        <f>'r. Alternative Programming'!E24</f>
        <v>1898705</v>
      </c>
      <c r="F26" s="27">
        <f>'r. Alternative Programming'!F24</f>
        <v>1348500</v>
      </c>
      <c r="G26" s="26">
        <f>'r. Alternative Programming'!G24</f>
        <v>550205</v>
      </c>
      <c r="H26" s="14">
        <f>'r. Alternative Programming'!H24</f>
        <v>550205</v>
      </c>
      <c r="I26" s="27">
        <f>'r. Alternative Programming'!I24</f>
        <v>550205</v>
      </c>
      <c r="J26" s="26">
        <f>'r. Alternative Programming'!J24</f>
        <v>418659</v>
      </c>
      <c r="K26" s="88">
        <f>'r. Alternative Programming'!K24</f>
        <v>131546</v>
      </c>
      <c r="L26" s="14">
        <f>'r. Alternative Programming'!L24</f>
        <v>131546</v>
      </c>
      <c r="M26" s="26">
        <f>'r. Alternative Programming'!M24</f>
        <v>0</v>
      </c>
    </row>
    <row r="27" spans="1:13" x14ac:dyDescent="0.35">
      <c r="A27" s="78" t="s">
        <v>55</v>
      </c>
      <c r="C27" s="87" t="s">
        <v>171</v>
      </c>
      <c r="D27" s="14">
        <f>'s. Accom and Alt Assessments'!D24</f>
        <v>3932000</v>
      </c>
      <c r="E27" s="27">
        <f>'s. Accom and Alt Assessments'!E24</f>
        <v>3932000</v>
      </c>
      <c r="F27" s="27">
        <f>'s. Accom and Alt Assessments'!F24</f>
        <v>1282550</v>
      </c>
      <c r="G27" s="26">
        <f>'s. Accom and Alt Assessments'!G24</f>
        <v>2649450</v>
      </c>
      <c r="H27" s="14">
        <f>'s. Accom and Alt Assessments'!H24</f>
        <v>2649450</v>
      </c>
      <c r="I27" s="27">
        <f>'s. Accom and Alt Assessments'!I24</f>
        <v>2649450</v>
      </c>
      <c r="J27" s="26">
        <f>'s. Accom and Alt Assessments'!J24</f>
        <v>2649450</v>
      </c>
      <c r="K27" s="88">
        <f>'s. Accom and Alt Assessments'!K24</f>
        <v>0</v>
      </c>
      <c r="L27" s="14">
        <f>'s. Accom and Alt Assessments'!L24</f>
        <v>0</v>
      </c>
      <c r="M27" s="26">
        <f>'s. Accom and Alt Assessments'!M24</f>
        <v>0</v>
      </c>
    </row>
    <row r="28" spans="1:13" x14ac:dyDescent="0.35">
      <c r="C28" s="86" t="s">
        <v>53</v>
      </c>
      <c r="D28" s="14">
        <f>'t. TA for Acad Achievement'!D24</f>
        <v>12210209</v>
      </c>
      <c r="E28" s="27">
        <f>'t. TA for Acad Achievement'!E24</f>
        <v>12210209</v>
      </c>
      <c r="F28" s="27">
        <f>'t. TA for Acad Achievement'!F24</f>
        <v>6634460</v>
      </c>
      <c r="G28" s="26">
        <f>'t. TA for Acad Achievement'!G24</f>
        <v>5575749</v>
      </c>
      <c r="H28" s="14">
        <f>'t. TA for Acad Achievement'!H24</f>
        <v>5575749</v>
      </c>
      <c r="I28" s="27">
        <f>'t. TA for Acad Achievement'!I24</f>
        <v>5575749</v>
      </c>
      <c r="J28" s="26">
        <f>'t. TA for Acad Achievement'!J24</f>
        <v>5575749</v>
      </c>
      <c r="K28" s="88">
        <f>'t. TA for Acad Achievement'!K24</f>
        <v>0</v>
      </c>
      <c r="L28" s="14">
        <f>'t. TA for Acad Achievement'!L24</f>
        <v>0</v>
      </c>
      <c r="M28" s="26">
        <f>'t. TA for Acad Achievement'!M24</f>
        <v>0</v>
      </c>
    </row>
    <row r="29" spans="1:13" x14ac:dyDescent="0.35">
      <c r="C29" s="87" t="s">
        <v>55</v>
      </c>
      <c r="D29" s="14">
        <f>'u-v. High Cost Fund'!D6</f>
        <v>3475419</v>
      </c>
      <c r="E29" s="27">
        <f>'u-v. High Cost Fund'!E6</f>
        <v>3475419</v>
      </c>
      <c r="F29" s="27">
        <f>'u-v. High Cost Fund'!F6</f>
        <v>2326126</v>
      </c>
      <c r="G29" s="26">
        <f>'u-v. High Cost Fund'!G6</f>
        <v>1149293</v>
      </c>
      <c r="H29" s="137"/>
      <c r="I29" s="138"/>
      <c r="J29" s="139"/>
      <c r="K29" s="140"/>
      <c r="L29" s="137"/>
      <c r="M29" s="139"/>
    </row>
    <row r="30" spans="1:13" ht="16" thickBot="1" x14ac:dyDescent="0.4">
      <c r="C30" s="105" t="s">
        <v>172</v>
      </c>
      <c r="D30" s="102">
        <f t="shared" ref="D30:M30" si="2">SUM(D16:D29)</f>
        <v>29090544</v>
      </c>
      <c r="E30" s="103">
        <f t="shared" si="2"/>
        <v>29090544</v>
      </c>
      <c r="F30" s="103">
        <f t="shared" si="2"/>
        <v>15714491</v>
      </c>
      <c r="G30" s="106">
        <f t="shared" si="2"/>
        <v>13376053</v>
      </c>
      <c r="H30" s="102">
        <f t="shared" si="2"/>
        <v>12226760</v>
      </c>
      <c r="I30" s="107">
        <f t="shared" si="2"/>
        <v>12226760</v>
      </c>
      <c r="J30" s="104">
        <f t="shared" si="2"/>
        <v>11934248</v>
      </c>
      <c r="K30" s="108">
        <f t="shared" si="2"/>
        <v>292512</v>
      </c>
      <c r="L30" s="102">
        <f t="shared" si="2"/>
        <v>278632</v>
      </c>
      <c r="M30" s="104">
        <f t="shared" si="2"/>
        <v>13880</v>
      </c>
    </row>
    <row r="31" spans="1:13" ht="16" thickTop="1" x14ac:dyDescent="0.35">
      <c r="C31" s="110" t="s">
        <v>173</v>
      </c>
      <c r="D31" s="112">
        <f>SUM(D14,D30)</f>
        <v>34754190</v>
      </c>
      <c r="E31" s="113">
        <f t="shared" ref="E31:M31" si="3">SUM(E14,E30)</f>
        <v>34754190</v>
      </c>
      <c r="F31" s="113">
        <f t="shared" si="3"/>
        <v>18870870</v>
      </c>
      <c r="G31" s="109">
        <f t="shared" si="3"/>
        <v>15883320</v>
      </c>
      <c r="H31" s="112">
        <f t="shared" si="3"/>
        <v>14734027</v>
      </c>
      <c r="I31" s="109">
        <f t="shared" si="3"/>
        <v>14734027</v>
      </c>
      <c r="J31" s="114">
        <f t="shared" si="3"/>
        <v>14299464</v>
      </c>
      <c r="K31" s="115">
        <f t="shared" si="3"/>
        <v>434563</v>
      </c>
      <c r="L31" s="112">
        <f t="shared" si="3"/>
        <v>420675</v>
      </c>
      <c r="M31" s="114">
        <f t="shared" si="3"/>
        <v>13888</v>
      </c>
    </row>
    <row r="32" spans="1:13" ht="45" customHeight="1" x14ac:dyDescent="0.35">
      <c r="C32" s="2"/>
      <c r="D32" s="109"/>
      <c r="E32" s="109"/>
      <c r="F32" s="109"/>
      <c r="G32" s="109"/>
      <c r="H32" s="145" t="str">
        <f>IF(G29&gt;0,"Unexpended funds from the High Cost fund may not be redistributed to other cost categories. Funds available for the Tydings budget will be reduced by this amount.","")</f>
        <v>Unexpended funds from the High Cost fund may not be redistributed to other cost categories. Funds available for the Tydings budget will be reduced by this amount.</v>
      </c>
      <c r="I32" s="145"/>
      <c r="J32" s="145"/>
      <c r="K32" s="145"/>
      <c r="L32" s="109"/>
      <c r="M32" s="109"/>
    </row>
    <row r="33" spans="1:14" ht="42.75" customHeight="1" x14ac:dyDescent="0.35">
      <c r="A33" s="131" t="str">
        <f>IF(AND(C33="",E33=""),"","Required reservation for monitoring and enforcement warning")</f>
        <v/>
      </c>
      <c r="C33" s="144" t="str">
        <f>IF(AND('Getting Started'!D12&gt;0,D16=0),"You must reserve a portion of the Other State-Level Activities funds for monitoring and enforcement in the application budget.","")</f>
        <v/>
      </c>
      <c r="D33" s="144"/>
      <c r="E33" s="143" t="str">
        <f>IF(AND('Getting Started'!D12&gt;0,E16=0),"You must reserve a portion of the Other State-Level Activities funds for monitoring and enforcement in the revised budget.","")</f>
        <v/>
      </c>
      <c r="F33" s="143"/>
      <c r="G33" s="143"/>
      <c r="H33" s="143"/>
      <c r="I33" s="143"/>
      <c r="J33" s="126"/>
      <c r="K33" s="127"/>
      <c r="L33" s="127"/>
      <c r="M33" s="127"/>
    </row>
    <row r="34" spans="1:14" ht="42.75" customHeight="1" x14ac:dyDescent="0.35">
      <c r="A34" s="131" t="str">
        <f>IF(AND(C34="",E34=""),"","Required reservation for mediation process warning")</f>
        <v/>
      </c>
      <c r="C34" s="144" t="str">
        <f>IF(AND('Getting Started'!D12&gt;0,D17=0),"You must reserve a portion of the Other State-Level Activities funds for the mediation process in the application budget.","")</f>
        <v/>
      </c>
      <c r="D34" s="144"/>
      <c r="E34" s="143" t="str">
        <f>IF(AND('Getting Started'!D12&gt;0,E17=0),"You must reserve a portion of the Other State-Level Activities funds for the mediation process in the revised budget.","")</f>
        <v/>
      </c>
      <c r="F34" s="143"/>
      <c r="G34" s="143"/>
      <c r="H34" s="143"/>
      <c r="I34" s="143"/>
      <c r="J34" s="125"/>
      <c r="K34" s="128"/>
      <c r="L34" s="128"/>
      <c r="M34" s="128"/>
    </row>
    <row r="35" spans="1:14" ht="63" customHeight="1" x14ac:dyDescent="0.35">
      <c r="A35" s="132" t="str">
        <f>IF(AND(C35="",E35=""),"","Total budgeted for Administration does not match the total reserved on the Getting Started tab warning")</f>
        <v/>
      </c>
      <c r="B35" s="18"/>
      <c r="C35" s="144" t="str">
        <f>IF(D14&lt;&gt;'Getting Started'!D6,"The total budgeted for Administration in the application budget does not match the reservation totals on the Getting Started tab.","")</f>
        <v/>
      </c>
      <c r="D35" s="144"/>
      <c r="E35" s="144" t="str">
        <f>IF(E14=0,"",IF(E14&lt;&gt;'Getting Started'!D6,"The total budgeted for Administration in the revised budget does not match the reservation totals on the Getting Started tab.",""))</f>
        <v/>
      </c>
      <c r="F35" s="144"/>
      <c r="G35" s="144"/>
      <c r="H35" s="144"/>
      <c r="I35" s="144"/>
      <c r="J35" s="129"/>
      <c r="K35" s="81"/>
      <c r="L35" s="81"/>
      <c r="M35" s="81"/>
    </row>
    <row r="36" spans="1:14" ht="58.5" customHeight="1" x14ac:dyDescent="0.35">
      <c r="A36" s="131" t="str">
        <f>IF(AND(C36="",E36=""),"","Total budgeted for Other State-Level Activities does not match the total reserved on the Getting Started tab warning")</f>
        <v/>
      </c>
      <c r="C36" s="144" t="str">
        <f>IF(D30&lt;&gt;'Getting Started'!D12,"The total budgeted for Other State-Level Activities in the application budget does not match the reservation totals on the Getting Started tab.","")</f>
        <v/>
      </c>
      <c r="D36" s="144"/>
      <c r="E36" s="144" t="str">
        <f>IF(E30=0,"",IF(E30&lt;&gt;'Getting Started'!D12,"The total budgeted for Other State-Level Activities in the revised budget does not match the reservation totals on the Getting Started tab.",""))</f>
        <v/>
      </c>
      <c r="F36" s="144"/>
      <c r="G36" s="144"/>
      <c r="H36" s="144"/>
      <c r="I36" s="144"/>
      <c r="J36" s="129"/>
      <c r="K36" s="81"/>
      <c r="L36" s="81"/>
      <c r="M36" s="81"/>
    </row>
    <row r="37" spans="1:14" ht="88.5" customHeight="1" x14ac:dyDescent="0.35">
      <c r="A37" s="132" t="str">
        <f>IF(AND(C37="",E37="",G37="",I37=""),"","Total budgeted for Other State-Level Activities from Administration funds exceeds maximum amount allowed warning")</f>
        <v/>
      </c>
      <c r="C37" s="144" t="str">
        <f>IF(D12=0,"",IF(D12&gt;'Getting Started'!D7,"The total budgeted for Other State-Level Activities from Administration in the application budget exceeds the maximum amount allowed.",""))</f>
        <v/>
      </c>
      <c r="D37" s="144"/>
      <c r="E37" s="144" t="str">
        <f>IF(E12=0,"",IF(E12&gt;'Getting Started'!D7,"The total budgeted for Other State-Level Activities from Administration in the revised budget exceeds the maximum amount allowed.",""))</f>
        <v/>
      </c>
      <c r="F37" s="144"/>
      <c r="G37" s="144" t="str">
        <f>IF(H12=0,"",IF(H12&gt;'Getting Started'!D7,"The total budgeted for Other State-Level Activities from Administration in the Tydings period budget exceeds the maximum amount allowed.",""))</f>
        <v/>
      </c>
      <c r="H37" s="144"/>
      <c r="I37" s="144" t="str">
        <f>IF(I12=0,"",IF((I12+F12)&gt;'Getting Started'!D7,"The total budgeted for Other State-Level Activities from Administration in the revised Tydings period budget exceeds the maximum amount allowed.",""))</f>
        <v/>
      </c>
      <c r="J37" s="144"/>
      <c r="K37" s="81"/>
      <c r="L37" s="81"/>
      <c r="M37" s="81"/>
    </row>
    <row r="38" spans="1:14" ht="63" customHeight="1" x14ac:dyDescent="0.35">
      <c r="A38" s="132" t="str">
        <f>IF(AND(C38="",E38="",G38="",I38=""),"","Total budgeted for Administration exceeds maximum amount allowed warning")</f>
        <v/>
      </c>
      <c r="C38" s="144" t="str">
        <f>IF(D14=0,"",IF(D14&gt;'Getting Started'!D5,"The total budgeted for Administration in the application budget exceeds the maximum amount allowed.",""))</f>
        <v/>
      </c>
      <c r="D38" s="144"/>
      <c r="E38" s="144" t="str">
        <f>IF(E14=0,"",IF(E14&gt;'Getting Started'!D5,"The total budgeted for Administration in the revised budget exceeds the maximum amount allowed.",""))</f>
        <v/>
      </c>
      <c r="F38" s="144"/>
      <c r="G38" s="144" t="str">
        <f>IF(H14=0,"",IF((H14+F14)&gt;'Getting Started'!D5,"The total budgeted for Administration in the Tydings period budget exceeds the maximum amount allowed.",""))</f>
        <v/>
      </c>
      <c r="H38" s="144"/>
      <c r="I38" s="144" t="str">
        <f>IF(I14=0,"",IF((I14+F14)&gt;'Getting Started'!D5,"The total budgeted for Administration in the revised Tydings period budget exceeds the maximum amount allowed.",""))</f>
        <v/>
      </c>
      <c r="J38" s="144"/>
      <c r="K38" s="81"/>
      <c r="L38" s="81"/>
      <c r="M38" s="81"/>
    </row>
    <row r="39" spans="1:14" ht="63" customHeight="1" x14ac:dyDescent="0.35">
      <c r="A39" s="132" t="str">
        <f>IF(AND(C39="",E39="",G39="",I39=""),"","Total budgeted for Other State-Level Activities exceeds maximum amount allowed warning")</f>
        <v/>
      </c>
      <c r="C39" s="144" t="str">
        <f>IF(D30=0,"",IF(D30&gt;'Getting Started'!D11,"The total budgeted for Other State-Level Activities in the application budget exceeds the maximum amount allowed.",""))</f>
        <v/>
      </c>
      <c r="D39" s="144"/>
      <c r="E39" s="144" t="str">
        <f>IF(E30=0,"",IF(E30&gt;'Getting Started'!D11,"The total budgeted for Other State-Level Activities in the revised budget exceeds the maximum amount allowed.",""))</f>
        <v/>
      </c>
      <c r="F39" s="144"/>
      <c r="G39" s="144" t="str">
        <f>IF(H30=0,"",IF((H30+F30)&gt;'Getting Started'!D11,"The total budgeted for Other State-Level Activities in the Tydings period budget exceeds the maximum amount allowed.",""))</f>
        <v/>
      </c>
      <c r="H39" s="144"/>
      <c r="I39" s="144" t="str">
        <f>IF(I30=0,"",IF((I30+F30)&gt;'Getting Started'!D11,"The total budgeted for Other State-Level Activities in the revised Tydings period budget exceeds the maximum amount allowed.",""))</f>
        <v/>
      </c>
      <c r="J39" s="144"/>
      <c r="K39" s="51"/>
      <c r="L39" s="130"/>
      <c r="M39" s="130"/>
    </row>
    <row r="40" spans="1:14" ht="63" customHeight="1" x14ac:dyDescent="0.35">
      <c r="A40" s="132" t="str">
        <f>IF(AND(E40="",G40="",I40=""),"","10% variance warning")</f>
        <v/>
      </c>
      <c r="C40" s="129"/>
      <c r="D40" s="136"/>
      <c r="E40" s="143" t="str">
        <f>IF(E31=0,"",IF(OR(E69&gt;(0.1*D31),(ABS(E70)&gt;(0.1*D31))),"Revised Budget Flag: Contact your OSEP state lead to determine if the 10% variance requires prior approval from OSEP.",""))</f>
        <v/>
      </c>
      <c r="F40" s="143"/>
      <c r="G40" s="143" t="str">
        <f>IF(H31=0,"",IF(OR(H69&gt;(0.1*D31),(ABS(H70)&gt;(0.1*D31))),"Tydings Budget Flag: Contact your OSEP state lead to determine if the 10% variance requires prior approval from OSEP.",""))</f>
        <v/>
      </c>
      <c r="H40" s="143"/>
      <c r="I40" s="143" t="str">
        <f>IF(I31=0,"",IF(OR(I69&gt;(0.1*D31),(ABS(I70)&gt;(0.1*D31))),"Tydings Revised Budget Flag: Contact your OSEP state lead to determine if the 10% variance requires prior approval from OSEP.",""))</f>
        <v/>
      </c>
      <c r="J40" s="143"/>
      <c r="K40" s="81"/>
      <c r="L40" s="81"/>
      <c r="M40" s="81"/>
    </row>
    <row r="41" spans="1:14" x14ac:dyDescent="0.35">
      <c r="A41" s="123"/>
      <c r="C41" s="19"/>
      <c r="D41" s="111"/>
      <c r="E41" s="111"/>
    </row>
    <row r="42" spans="1:14" x14ac:dyDescent="0.35">
      <c r="A42" s="123" t="s">
        <v>221</v>
      </c>
      <c r="C42" s="19"/>
      <c r="D42" s="111"/>
      <c r="E42" s="111"/>
    </row>
    <row r="43" spans="1:14" x14ac:dyDescent="0.35">
      <c r="A43" s="142" t="s">
        <v>5</v>
      </c>
      <c r="B43" s="142"/>
      <c r="C43" s="142"/>
      <c r="D43" s="142"/>
      <c r="E43" s="142"/>
      <c r="F43" s="142"/>
      <c r="G43" s="142"/>
      <c r="H43" s="142"/>
      <c r="I43" s="142"/>
      <c r="J43" s="142"/>
      <c r="K43" s="142"/>
      <c r="L43" s="142"/>
      <c r="M43" s="142"/>
      <c r="N43" s="142"/>
    </row>
    <row r="44" spans="1:14" hidden="1" x14ac:dyDescent="0.35">
      <c r="A44" t="s">
        <v>174</v>
      </c>
      <c r="C44" t="str">
        <f>IF(AND(C33="",E33="",C34="",E34="",C35="",E35="",C36="",E36="",C37="",E37="",G37="",I37="",C38="",E38="",G38="",I38="",C39="",E39="",G39="",I39="",E40="",G40="",I40=""),"",1)</f>
        <v/>
      </c>
      <c r="D44" s="111"/>
      <c r="E44" s="111"/>
    </row>
    <row r="48" spans="1:14" hidden="1" x14ac:dyDescent="0.35">
      <c r="A48" t="s">
        <v>175</v>
      </c>
      <c r="C48" s="34"/>
      <c r="D48" s="35"/>
      <c r="E48" s="36">
        <f>E5-D5</f>
        <v>0</v>
      </c>
      <c r="F48" s="35"/>
      <c r="G48" s="35"/>
      <c r="H48" s="36">
        <f>(H5+$F5-$D5)</f>
        <v>0</v>
      </c>
      <c r="I48" s="36">
        <f>(I5+$F5-$D5)</f>
        <v>0</v>
      </c>
    </row>
    <row r="49" spans="3:9" hidden="1" x14ac:dyDescent="0.35">
      <c r="C49" s="34"/>
      <c r="D49" s="35"/>
      <c r="E49" s="36">
        <f>E6-D6</f>
        <v>0</v>
      </c>
      <c r="F49" s="35"/>
      <c r="G49" s="35"/>
      <c r="H49" s="36">
        <f>(H6+$F6-$D6)</f>
        <v>0</v>
      </c>
      <c r="I49" s="36">
        <f>(I6+$F6-$D6)</f>
        <v>0</v>
      </c>
    </row>
    <row r="50" spans="3:9" hidden="1" x14ac:dyDescent="0.35">
      <c r="C50" s="37"/>
      <c r="D50" s="35"/>
      <c r="E50" s="36">
        <f>E8-D8</f>
        <v>0</v>
      </c>
      <c r="F50" s="35"/>
      <c r="G50" s="35"/>
      <c r="H50" s="36">
        <f t="shared" ref="H50:I53" si="4">(H8+$F8-$D8)</f>
        <v>0</v>
      </c>
      <c r="I50" s="36">
        <f t="shared" si="4"/>
        <v>0</v>
      </c>
    </row>
    <row r="51" spans="3:9" hidden="1" x14ac:dyDescent="0.35">
      <c r="C51" s="35"/>
      <c r="D51" s="35"/>
      <c r="E51" s="36">
        <f>E9-D9</f>
        <v>0</v>
      </c>
      <c r="F51" s="35"/>
      <c r="G51" s="35"/>
      <c r="H51" s="36">
        <f t="shared" si="4"/>
        <v>0</v>
      </c>
      <c r="I51" s="36">
        <f t="shared" si="4"/>
        <v>0</v>
      </c>
    </row>
    <row r="52" spans="3:9" hidden="1" x14ac:dyDescent="0.35">
      <c r="C52" s="35"/>
      <c r="D52" s="35"/>
      <c r="E52" s="36">
        <f>E10-D10</f>
        <v>0</v>
      </c>
      <c r="F52" s="35"/>
      <c r="G52" s="35"/>
      <c r="H52" s="36">
        <f t="shared" si="4"/>
        <v>0</v>
      </c>
      <c r="I52" s="36">
        <f t="shared" si="4"/>
        <v>0</v>
      </c>
    </row>
    <row r="53" spans="3:9" hidden="1" x14ac:dyDescent="0.35">
      <c r="C53" s="35"/>
      <c r="D53" s="35"/>
      <c r="E53" s="36">
        <f>E11-D11</f>
        <v>0</v>
      </c>
      <c r="F53" s="35"/>
      <c r="G53" s="35"/>
      <c r="H53" s="36">
        <f t="shared" si="4"/>
        <v>0</v>
      </c>
      <c r="I53" s="36">
        <f t="shared" si="4"/>
        <v>0</v>
      </c>
    </row>
    <row r="54" spans="3:9" hidden="1" x14ac:dyDescent="0.35">
      <c r="C54" s="35"/>
      <c r="D54" s="35"/>
      <c r="E54" s="36">
        <f>E13-D13</f>
        <v>0</v>
      </c>
      <c r="F54" s="35"/>
      <c r="G54" s="35"/>
      <c r="H54" s="36">
        <f>(H13+$F13-$D13)</f>
        <v>0</v>
      </c>
      <c r="I54" s="36">
        <f>I13+$F13-$D13</f>
        <v>0</v>
      </c>
    </row>
    <row r="55" spans="3:9" hidden="1" x14ac:dyDescent="0.35">
      <c r="C55" s="35"/>
      <c r="D55" s="35"/>
      <c r="E55" s="36">
        <f>E16-D16</f>
        <v>0</v>
      </c>
      <c r="F55" s="35"/>
      <c r="G55" s="35"/>
      <c r="H55" s="36">
        <f t="shared" ref="H55:H68" si="5">H16+$F16-$D16</f>
        <v>0</v>
      </c>
      <c r="I55" s="36">
        <f t="shared" ref="I55:I67" si="6">(I16+$F16-$D16)</f>
        <v>0</v>
      </c>
    </row>
    <row r="56" spans="3:9" hidden="1" x14ac:dyDescent="0.35">
      <c r="C56" s="35"/>
      <c r="D56" s="35"/>
      <c r="E56" s="36">
        <f t="shared" ref="E56:E68" si="7">E17-D17</f>
        <v>0</v>
      </c>
      <c r="F56" s="35"/>
      <c r="G56" s="35"/>
      <c r="H56" s="36">
        <f t="shared" si="5"/>
        <v>0</v>
      </c>
      <c r="I56" s="36">
        <f t="shared" si="6"/>
        <v>0</v>
      </c>
    </row>
    <row r="57" spans="3:9" hidden="1" x14ac:dyDescent="0.35">
      <c r="C57" s="35"/>
      <c r="D57" s="35"/>
      <c r="E57" s="36">
        <f t="shared" si="7"/>
        <v>0</v>
      </c>
      <c r="F57" s="35"/>
      <c r="G57" s="35"/>
      <c r="H57" s="36">
        <f t="shared" si="5"/>
        <v>0</v>
      </c>
      <c r="I57" s="36">
        <f t="shared" si="6"/>
        <v>0</v>
      </c>
    </row>
    <row r="58" spans="3:9" hidden="1" x14ac:dyDescent="0.35">
      <c r="C58" s="35"/>
      <c r="D58" s="35"/>
      <c r="E58" s="36">
        <f t="shared" si="7"/>
        <v>0</v>
      </c>
      <c r="F58" s="35"/>
      <c r="G58" s="35"/>
      <c r="H58" s="36">
        <f t="shared" si="5"/>
        <v>0</v>
      </c>
      <c r="I58" s="36">
        <f t="shared" si="6"/>
        <v>0</v>
      </c>
    </row>
    <row r="59" spans="3:9" hidden="1" x14ac:dyDescent="0.35">
      <c r="C59" s="35"/>
      <c r="D59" s="35"/>
      <c r="E59" s="36">
        <f t="shared" si="7"/>
        <v>0</v>
      </c>
      <c r="F59" s="35"/>
      <c r="G59" s="35"/>
      <c r="H59" s="36">
        <f t="shared" si="5"/>
        <v>0</v>
      </c>
      <c r="I59" s="36">
        <f t="shared" si="6"/>
        <v>0</v>
      </c>
    </row>
    <row r="60" spans="3:9" hidden="1" x14ac:dyDescent="0.35">
      <c r="C60" s="35"/>
      <c r="D60" s="35"/>
      <c r="E60" s="36">
        <f t="shared" si="7"/>
        <v>0</v>
      </c>
      <c r="F60" s="35"/>
      <c r="G60" s="35"/>
      <c r="H60" s="36">
        <f t="shared" si="5"/>
        <v>0</v>
      </c>
      <c r="I60" s="36">
        <f t="shared" si="6"/>
        <v>0</v>
      </c>
    </row>
    <row r="61" spans="3:9" hidden="1" x14ac:dyDescent="0.35">
      <c r="C61" s="35"/>
      <c r="D61" s="35"/>
      <c r="E61" s="36">
        <f t="shared" si="7"/>
        <v>0</v>
      </c>
      <c r="F61" s="35"/>
      <c r="G61" s="35"/>
      <c r="H61" s="36">
        <f t="shared" si="5"/>
        <v>0</v>
      </c>
      <c r="I61" s="36">
        <f t="shared" si="6"/>
        <v>0</v>
      </c>
    </row>
    <row r="62" spans="3:9" hidden="1" x14ac:dyDescent="0.35">
      <c r="C62" s="35"/>
      <c r="D62" s="35"/>
      <c r="E62" s="36">
        <f t="shared" si="7"/>
        <v>0</v>
      </c>
      <c r="F62" s="35"/>
      <c r="G62" s="35"/>
      <c r="H62" s="36">
        <f t="shared" si="5"/>
        <v>0</v>
      </c>
      <c r="I62" s="36">
        <f t="shared" si="6"/>
        <v>0</v>
      </c>
    </row>
    <row r="63" spans="3:9" hidden="1" x14ac:dyDescent="0.35">
      <c r="C63" s="35"/>
      <c r="D63" s="35"/>
      <c r="E63" s="36">
        <f t="shared" si="7"/>
        <v>0</v>
      </c>
      <c r="F63" s="35"/>
      <c r="G63" s="35"/>
      <c r="H63" s="36">
        <f t="shared" si="5"/>
        <v>0</v>
      </c>
      <c r="I63" s="36">
        <f t="shared" si="6"/>
        <v>0</v>
      </c>
    </row>
    <row r="64" spans="3:9" hidden="1" x14ac:dyDescent="0.35">
      <c r="C64" s="35"/>
      <c r="D64" s="35"/>
      <c r="E64" s="36">
        <f t="shared" si="7"/>
        <v>0</v>
      </c>
      <c r="F64" s="35"/>
      <c r="G64" s="35"/>
      <c r="H64" s="36">
        <f t="shared" si="5"/>
        <v>0</v>
      </c>
      <c r="I64" s="36">
        <f t="shared" si="6"/>
        <v>0</v>
      </c>
    </row>
    <row r="65" spans="3:9" hidden="1" x14ac:dyDescent="0.35">
      <c r="C65" s="35"/>
      <c r="D65" s="35"/>
      <c r="E65" s="36">
        <f t="shared" si="7"/>
        <v>0</v>
      </c>
      <c r="F65" s="35"/>
      <c r="G65" s="35"/>
      <c r="H65" s="36">
        <f t="shared" si="5"/>
        <v>0</v>
      </c>
      <c r="I65" s="36">
        <f t="shared" si="6"/>
        <v>0</v>
      </c>
    </row>
    <row r="66" spans="3:9" hidden="1" x14ac:dyDescent="0.35">
      <c r="C66" s="35"/>
      <c r="D66" s="35"/>
      <c r="E66" s="36">
        <f t="shared" si="7"/>
        <v>0</v>
      </c>
      <c r="F66" s="35"/>
      <c r="G66" s="35"/>
      <c r="H66" s="36">
        <f t="shared" si="5"/>
        <v>0</v>
      </c>
      <c r="I66" s="36">
        <f t="shared" si="6"/>
        <v>0</v>
      </c>
    </row>
    <row r="67" spans="3:9" hidden="1" x14ac:dyDescent="0.35">
      <c r="C67" s="35"/>
      <c r="D67" s="35"/>
      <c r="E67" s="36">
        <f t="shared" si="7"/>
        <v>0</v>
      </c>
      <c r="F67" s="35"/>
      <c r="G67" s="35"/>
      <c r="H67" s="36">
        <f t="shared" si="5"/>
        <v>0</v>
      </c>
      <c r="I67" s="36">
        <f t="shared" si="6"/>
        <v>0</v>
      </c>
    </row>
    <row r="68" spans="3:9" hidden="1" x14ac:dyDescent="0.35">
      <c r="C68" s="35"/>
      <c r="D68" s="35"/>
      <c r="E68" s="36">
        <f t="shared" si="7"/>
        <v>0</v>
      </c>
      <c r="F68" s="35"/>
      <c r="G68" s="35"/>
      <c r="H68" s="36">
        <f t="shared" si="5"/>
        <v>-1149293</v>
      </c>
      <c r="I68" s="36">
        <f t="shared" ref="I68" si="8">(I29+F29)-D29</f>
        <v>-1149293</v>
      </c>
    </row>
    <row r="69" spans="3:9" hidden="1" x14ac:dyDescent="0.35">
      <c r="C69" s="35" t="s">
        <v>176</v>
      </c>
      <c r="D69" s="35"/>
      <c r="E69" s="36">
        <f>SUMIF(E48:E68,"&gt;0")</f>
        <v>0</v>
      </c>
      <c r="F69" s="35"/>
      <c r="G69" s="35"/>
      <c r="H69" s="36">
        <f>SUMIF(H48:H68,"&gt;0")</f>
        <v>0</v>
      </c>
      <c r="I69" s="36">
        <f>SUMIF(I48:I68,"&gt;0")</f>
        <v>0</v>
      </c>
    </row>
    <row r="70" spans="3:9" hidden="1" x14ac:dyDescent="0.35">
      <c r="C70" s="35" t="s">
        <v>177</v>
      </c>
      <c r="D70" s="35"/>
      <c r="E70" s="36">
        <f>SUMIF(E48:E68,"&lt;0")</f>
        <v>0</v>
      </c>
      <c r="F70" s="35"/>
      <c r="G70" s="35"/>
      <c r="H70" s="36">
        <f>SUMIF(H48:H68,"&lt;0")</f>
        <v>-1149293</v>
      </c>
      <c r="I70" s="36">
        <f>SUMIF(I48:I68,"&lt;0")</f>
        <v>-1149293</v>
      </c>
    </row>
  </sheetData>
  <sheetProtection algorithmName="SHA-512" hashValue="bjGDm4EdU/j9qQKqP4QD0O7Xb/YP5kZVu850GhVWtFo823e8q1+lTabD5JIvrDEsxHT0W/1hZVNiOSLqu+sq0Q==" saltValue="RUzhjTJ8Xt4dVIEV2d36nA==" spinCount="100000" sheet="1" objects="1" scenarios="1"/>
  <mergeCells count="25">
    <mergeCell ref="H32:K32"/>
    <mergeCell ref="C37:D37"/>
    <mergeCell ref="E37:F37"/>
    <mergeCell ref="G37:H37"/>
    <mergeCell ref="I37:J37"/>
    <mergeCell ref="C36:D36"/>
    <mergeCell ref="E33:I33"/>
    <mergeCell ref="E34:I34"/>
    <mergeCell ref="C33:D33"/>
    <mergeCell ref="C34:D34"/>
    <mergeCell ref="E35:I35"/>
    <mergeCell ref="C35:D35"/>
    <mergeCell ref="E36:I36"/>
    <mergeCell ref="E38:F38"/>
    <mergeCell ref="G38:H38"/>
    <mergeCell ref="I38:J38"/>
    <mergeCell ref="E39:F39"/>
    <mergeCell ref="G39:H39"/>
    <mergeCell ref="I39:J39"/>
    <mergeCell ref="E40:F40"/>
    <mergeCell ref="G40:H40"/>
    <mergeCell ref="I40:J40"/>
    <mergeCell ref="A43:N43"/>
    <mergeCell ref="C38:D38"/>
    <mergeCell ref="C39:D39"/>
  </mergeCells>
  <conditionalFormatting sqref="D4:M31 D32:H32 L32:M32">
    <cfRule type="cellIs" dxfId="89" priority="2" operator="lessThan">
      <formula>0</formula>
    </cfRule>
  </conditionalFormatting>
  <conditionalFormatting sqref="E33 J33:M33">
    <cfRule type="cellIs" dxfId="88" priority="1" operator="lessThan">
      <formula>0</formula>
    </cfRule>
  </conditionalFormatting>
  <hyperlinks>
    <hyperlink ref="C5" location="'a. Part B Administration'!A1" display="a. Part B Administration" xr:uid="{00000000-0004-0000-0300-000000000000}"/>
    <hyperlink ref="C6" location="'b. Part C Administration'!A1" display="b. Part C Administration" xr:uid="{00000000-0004-0000-0300-000001000000}"/>
    <hyperlink ref="C8" location="'State Set-Aside Overview'!A1" display="c. Support and Direct Services" xr:uid="{00000000-0004-0000-0300-000002000000}"/>
    <hyperlink ref="C9" location="'State Set-Aside Overview'!A1" display="d. PBIS and Mental Health Services" xr:uid="{00000000-0004-0000-0300-000003000000}"/>
    <hyperlink ref="C10" location="'State Set-Aside Overview'!A1" display="e. Assist LEAs in Meeting Personnel Shortages" xr:uid="{00000000-0004-0000-0300-000004000000}"/>
    <hyperlink ref="C11" location="'State Set-Aside Overview'!A1" display="f. Capacity Building Activities" xr:uid="{00000000-0004-0000-0300-000005000000}"/>
    <hyperlink ref="C13" location="'g. Joint Part C Policy'!A1" display="g. Joint Part C Policy" xr:uid="{00000000-0004-0000-0300-000006000000}"/>
    <hyperlink ref="C16" location="'h. Monitoring and Enforcement'!A1" display="h. Monitoring and Enforcement" xr:uid="{D4E040EE-0F7C-4776-83CC-48B57DC33367}"/>
    <hyperlink ref="C17" location="'i. Mediation Process'!A1" display="i. Mediation Process" xr:uid="{50F01394-C1B1-496A-8D5D-451AE97DF8CC}"/>
    <hyperlink ref="C19" location="'k. PBIS and Mental Health'!A1" display="k. PBIS and Mental Health Services" xr:uid="{DC2A8A43-BCE9-4744-869B-FC69A2180013}"/>
    <hyperlink ref="C20" location="'l. Personnel Shortages'!A1" display="l. Assist LEAs in Meeting Personnel Shortages" xr:uid="{D240E44D-5762-4F58-9022-DDD34F248FEF}"/>
    <hyperlink ref="C21" location="'m. Capacity Building'!A1" display="m. Capacity Building" xr:uid="{0EC56337-CECE-411A-8AD4-294DDB00672E}"/>
    <hyperlink ref="C22" location="'n. Paperwork Reduction'!A1" display="n. Paperwork Reduction" xr:uid="{A69E4761-FFD1-4BDF-9216-1918F6F6913D}"/>
    <hyperlink ref="C23" location="'o. Improve Tech Use in Class'!A1" display="o. Improve Tech Use in Class" xr:uid="{9904B2EC-16D6-4EB6-AC50-E951274B9D77}"/>
    <hyperlink ref="C24" location="'p. Technology for Access'!A1" display="p. Technology for Access" xr:uid="{C706A3CA-0CA7-43AC-BD7F-2D31CCB298F8}"/>
    <hyperlink ref="C25" location="'q. Transition Programs'!A1" display="q. Transition Programs" xr:uid="{17970D49-6F24-404F-92FC-078DD80B2B30}"/>
    <hyperlink ref="C26" location="'r. Alternative Programming'!A1" display="r. Alternative Programming" xr:uid="{8796AE75-543D-4E97-94C3-3699AC19BAC3}"/>
    <hyperlink ref="C27" location="'s. Appropriate Accommodations'!A1" display="s. Appropriate Accommodations" xr:uid="{3EC01023-9C73-4BAB-977E-352BC2A57830}"/>
    <hyperlink ref="C28" location="'t. TA for Acad Achievement'!A1" display="t. TA for Acad Achievement" xr:uid="{B730244E-02E7-43FE-89D0-577D0C5FBC9F}"/>
    <hyperlink ref="C29" location="'u-v. High Cost Fund'!A1" display="u-v. High Cost Fund" xr:uid="{0943A347-2E5B-4C20-86D8-A381FC00FD39}"/>
    <hyperlink ref="C18" location="'State Set-Aside Overview'!A1" display="j. Support and Direct Services" xr:uid="{2918E688-B92B-436A-B9EB-3442B158AF4E}"/>
    <hyperlink ref="A2" location="'Table of Contents'!A1" display="Table of Contents" xr:uid="{1BF2D05C-8E26-41C2-9BFC-469BF3A0B73E}"/>
    <hyperlink ref="A3" location="'Getting Started'!A1" display="Getting Started" xr:uid="{59E912F5-0177-48CE-869E-6DEA8FE946FD}"/>
    <hyperlink ref="A6" location="'a. Part B Administration'!A1" display="a. Part B Administration" xr:uid="{AF8A71D8-CB45-4898-B075-FBA9CE573602}"/>
    <hyperlink ref="A7" location="'b. Part C Administration'!A1" display="b. Part C Administration" xr:uid="{898276FB-48F1-410B-B4CF-666FEF1FC020}"/>
    <hyperlink ref="A9" location="'d. PBIS and Mental Health'!A1" display="d. PBIS and Mental Health" xr:uid="{EACC2C1B-A4D6-46CC-A205-0BCCF462EA97}"/>
    <hyperlink ref="A10" location="'e. Personnel Shortages'!A1" display="e. Personnel Shortages" xr:uid="{00D6BBCD-2FB4-4D56-A16E-9CC335CB940C}"/>
    <hyperlink ref="A8" location="'c. Support and Direct Services'!A1" display="c. Support and Direct Services" xr:uid="{7F112C3C-A7A2-4ECE-BE8D-2EBCC472C946}"/>
    <hyperlink ref="A12" location="'g. Joint Part C Policy'!A1" display="g. Joint Part C Policy" xr:uid="{AB597525-D0FE-4C61-9942-05610D347709}"/>
    <hyperlink ref="A14" location="'h. Monitoring and Enforcement'!A1" display="h. Monitoring and Enforcement" xr:uid="{C23757AD-2E78-4EF0-8173-2CF9A6B3C028}"/>
    <hyperlink ref="A15" location="'i. Mediation Process'!A1" display="i. Mediation Process" xr:uid="{B41DDBC4-1D37-4B04-BA62-1E1AFAEA3525}"/>
    <hyperlink ref="A16" location="'j. Support and Direct Services'!A1" display="j. Support and Direct Services" xr:uid="{7F26CAAD-B0C3-482F-ADC9-C41D08364100}"/>
    <hyperlink ref="A17" location="'k. PBIS and Mental Health'!A1" display="k. PBIS and Mental Health" xr:uid="{27DF653F-FEB4-4390-A7DB-A357B2A2FD4C}"/>
    <hyperlink ref="A18" location="'l. Personnel Shortages'!A1" display="l. Personnel Shortages" xr:uid="{27A5595A-1B48-4C2F-A8B3-26E33B039FC9}"/>
    <hyperlink ref="A19" location="'m. Capacity Building'!A1" display="m. Capacity Building" xr:uid="{68E1FEB8-7061-41C7-A63E-5B91410C9461}"/>
    <hyperlink ref="A20" location="'n. Paperwork Reduction'!A1" display="n. Paperwork Reduction" xr:uid="{53AB2AA4-8715-4760-8504-9CE4FEBE8E3F}"/>
    <hyperlink ref="A21" location="'o. Improve Tech Use in Class'!A1" display="o. Improve Tech Use in Class" xr:uid="{8ADE02AA-A1AE-45F9-A055-3F2FC0922BB3}"/>
    <hyperlink ref="A22" location="'p. Technology for Access'!A1" display="p. Technology for Access" xr:uid="{7DC54277-DDB9-4870-8728-477B83E2E853}"/>
    <hyperlink ref="A23" location="'q. Transition Programs'!A1" display="q. Transition Programs" xr:uid="{2278BC0C-FE85-4265-99EE-6F5382381FCB}"/>
    <hyperlink ref="A24" location="'r. Alternative Programming'!A1" display="r. Alternative Programming" xr:uid="{2EB8D064-0CCB-48BD-AC0D-F437DC11658A}"/>
    <hyperlink ref="A26" location="'t. TA for Acad Achievement'!A1" display="t. TA for Acad Achievement" xr:uid="{7F149C30-DFAE-479B-9608-95265781D7E3}"/>
    <hyperlink ref="A27" location="'u-v. High Cost Fund'!A1" display="u-v. High Cost Fund" xr:uid="{32ADA13E-032F-47D4-92B6-77FB78E0281D}"/>
    <hyperlink ref="A4" location="'State Set-Aside Overview'!A1" display="State Set-Aside Overview" xr:uid="{9CDE6EAC-7079-4314-9EF8-406D66D4BFD0}"/>
    <hyperlink ref="A11" location="'f. Capacity Building'!A1" display="f. Capacity Building" xr:uid="{E7007C72-7B85-4DBB-BD01-4141E5B3CDC6}"/>
    <hyperlink ref="A25" location="'s. Accom and Alt Assessments'!A1" display="s. Accom and Alt Assessments" xr:uid="{611D71C1-CBC3-44AD-BDD0-FBC5496743D8}"/>
  </hyperlinks>
  <pageMargins left="0.7" right="0.7" top="0.75" bottom="0.75" header="0.3" footer="0.3"/>
  <pageSetup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178</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t="s">
        <v>180</v>
      </c>
      <c r="D4" s="16">
        <v>3053976</v>
      </c>
      <c r="E4" s="38">
        <v>3053976</v>
      </c>
      <c r="F4" s="17">
        <v>1880050</v>
      </c>
      <c r="G4" s="39">
        <f>IF('Getting Started'!D$14="No",D4-F4,IF('Getting Started'!D$14="Yes",E4-F4,""))</f>
        <v>1173926</v>
      </c>
      <c r="H4" s="60">
        <f>IF('Getting Started'!D$15="Yes",G4,"")</f>
        <v>1173926</v>
      </c>
      <c r="I4" s="61">
        <f>IF('Getting Started'!D$16="Yes",H4,"")</f>
        <v>1173926</v>
      </c>
      <c r="J4" s="62">
        <v>1173926</v>
      </c>
      <c r="K4" s="39">
        <f>IF('Getting Started'!D$15="No","",IF('Getting Started'!D$16="No",H4-J4,IF('Getting Started'!D$16="Yes",I4-J4,"")))</f>
        <v>0</v>
      </c>
      <c r="L4" s="63"/>
      <c r="M4" s="39">
        <f>IF('Getting Started'!D$15="No","",K4-L4)</f>
        <v>0</v>
      </c>
    </row>
    <row r="5" spans="1:13" x14ac:dyDescent="0.35">
      <c r="A5" s="95" t="s">
        <v>66</v>
      </c>
      <c r="C5" s="64" t="s">
        <v>181</v>
      </c>
      <c r="D5" s="16">
        <v>940318</v>
      </c>
      <c r="E5" s="38">
        <v>940318</v>
      </c>
      <c r="F5" s="17">
        <v>552000</v>
      </c>
      <c r="G5" s="39">
        <f>IF('Getting Started'!D$14="No",D5-F5,IF('Getting Started'!D$14="Yes",E5-F5,""))</f>
        <v>388318</v>
      </c>
      <c r="H5" s="60">
        <f>IF('Getting Started'!D$15="Yes",G5,"")</f>
        <v>388318</v>
      </c>
      <c r="I5" s="61">
        <f>IF('Getting Started'!D$16="Yes",H5,"")</f>
        <v>388318</v>
      </c>
      <c r="J5" s="62">
        <v>388310</v>
      </c>
      <c r="K5" s="39">
        <f>IF('Getting Started'!D$15="No","",IF('Getting Started'!D$16="No",H5-J5,IF('Getting Started'!D$16="Yes",I5-J5,"")))</f>
        <v>8</v>
      </c>
      <c r="L5" s="63"/>
      <c r="M5" s="39">
        <f>IF('Getting Started'!D$15="No","",K5-L5)</f>
        <v>8</v>
      </c>
    </row>
    <row r="6" spans="1:13" x14ac:dyDescent="0.35">
      <c r="A6" s="78" t="s">
        <v>14</v>
      </c>
      <c r="C6" s="64" t="s">
        <v>182</v>
      </c>
      <c r="D6" s="16">
        <v>769352</v>
      </c>
      <c r="E6" s="38">
        <v>769352</v>
      </c>
      <c r="F6" s="17">
        <v>319329</v>
      </c>
      <c r="G6" s="39">
        <f>IF('Getting Started'!D$14="No",D6-F6,IF('Getting Started'!D$14="Yes",E6-F6,""))</f>
        <v>450023</v>
      </c>
      <c r="H6" s="60">
        <f>IF('Getting Started'!D$15="Yes",G6,"")</f>
        <v>450023</v>
      </c>
      <c r="I6" s="61">
        <f>IF('Getting Started'!D$16="Yes",H6,"")</f>
        <v>450023</v>
      </c>
      <c r="J6" s="62">
        <v>307980</v>
      </c>
      <c r="K6" s="39">
        <f>IF('Getting Started'!D$15="No","",IF('Getting Started'!D$16="No",H6-J6,IF('Getting Started'!D$16="Yes",I6-J6,"")))</f>
        <v>142043</v>
      </c>
      <c r="L6" s="63">
        <v>142043</v>
      </c>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4763646</v>
      </c>
      <c r="E24" s="41">
        <f>IF('Getting Started'!D14="No","",SUM(E4:E23))</f>
        <v>4763646</v>
      </c>
      <c r="F24" s="41">
        <f t="shared" ref="F24:M24" si="0">SUM(F4:F23)</f>
        <v>2751379</v>
      </c>
      <c r="G24" s="39">
        <f t="shared" si="0"/>
        <v>2012267</v>
      </c>
      <c r="H24" s="41">
        <f>IF('Getting Started'!D15="No","",SUM(H4:H23))</f>
        <v>2012267</v>
      </c>
      <c r="I24" s="41">
        <f>IF('Getting Started'!D16="No","",SUM(I4:I23))</f>
        <v>2012267</v>
      </c>
      <c r="J24" s="39">
        <f t="shared" si="0"/>
        <v>1870216</v>
      </c>
      <c r="K24" s="39">
        <f t="shared" si="0"/>
        <v>142051</v>
      </c>
      <c r="L24" s="15">
        <f t="shared" si="0"/>
        <v>142043</v>
      </c>
      <c r="M24" s="41">
        <f t="shared" si="0"/>
        <v>8</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dXA3Yiw58r+6ElGXAKKTZK+YMqsXbqhKi9OuXBNECYoHHsZoyh9GKL0IHH9uZpwvrITcXIYKnSV7jW1S2vfBQA==" saltValue="7vsOMJhEvIf6gcQzlzuTzw==" spinCount="100000" sheet="1" objects="1" scenarios="1"/>
  <mergeCells count="1">
    <mergeCell ref="A28:N28"/>
  </mergeCells>
  <conditionalFormatting sqref="G4:G24">
    <cfRule type="cellIs" dxfId="86" priority="3" operator="lessThan">
      <formula>0</formula>
    </cfRule>
  </conditionalFormatting>
  <conditionalFormatting sqref="K4:K24 M4:M24">
    <cfRule type="cellIs" dxfId="83" priority="2" operator="lessThan">
      <formula>0</formula>
    </cfRule>
  </conditionalFormatting>
  <dataValidations count="3">
    <dataValidation allowBlank="1" showInputMessage="1" showErrorMessage="1" prompt="To create a Tydings Period budget, select “Yes” in cell D15 on the Getting Started tab." sqref="H4" xr:uid="{969AD918-25B4-4165-AEEA-41FE28769F97}"/>
    <dataValidation allowBlank="1" showInputMessage="1" showErrorMessage="1" prompt="To create a revised Tydings Period budget, select “Yes” in cell D16 on the Getting Started tab." sqref="I4" xr:uid="{0B3A95D0-397F-4769-B9F2-E71A0652CF04}"/>
    <dataValidation allowBlank="1" showInputMessage="1" showErrorMessage="1" prompt="To create a revised budget, select &quot;Yes&quot; in cell D14 on the Getting Started tab." sqref="E4" xr:uid="{017D8B0C-689A-45B6-9AFB-1C1A41D3054A}"/>
  </dataValidations>
  <hyperlinks>
    <hyperlink ref="A2" location="'Table of Contents'!A1" display="Table of Contents" xr:uid="{2556E170-752F-4A25-A677-89B34431E3C0}"/>
    <hyperlink ref="A3" location="'Getting Started'!A1" display="Getting Started" xr:uid="{36B7AE5D-50AB-426E-AF5C-CA9CB6800B4B}"/>
    <hyperlink ref="A6" location="'a. Part B Administration'!A1" display="a. Part B Administration" xr:uid="{155D9454-1E73-432B-8813-2388CD2457C3}"/>
    <hyperlink ref="A7" location="'b. Part C Administration'!A1" display="b. Part C Administration" xr:uid="{CCEF7809-BA2A-4126-BD45-6B2F5AA16701}"/>
    <hyperlink ref="A9" location="'d. PBIS and Mental Health'!A1" display="d. PBIS and Mental Health" xr:uid="{3BE54276-AF5E-4A1C-A634-F44663E96C4B}"/>
    <hyperlink ref="A10" location="'e. Personnel Shortages'!A1" display="e. Personnel Shortages" xr:uid="{A4B710CA-8138-41E9-B75F-E03071760702}"/>
    <hyperlink ref="A8" location="'c. Support and Direct Services'!A1" display="c. Support and Direct Services" xr:uid="{FECDD398-E51E-41B4-AB30-FB0E485D36A9}"/>
    <hyperlink ref="A11" location="'f. Capacity Building'!A1" display="f. Capacity Building" xr:uid="{C64C158D-9994-4E26-99C3-7EA25E20F7A5}"/>
    <hyperlink ref="A12" location="'g. Joint Part C Policy'!A1" display="g. Joint Part C Policy" xr:uid="{785785BF-8632-4935-8062-35EFA516B321}"/>
    <hyperlink ref="A14" location="'h. Monitoring and Enforcement'!A1" display="h. Monitoring and Enforcement" xr:uid="{D323F003-330A-4766-8AC2-0F724C4B1879}"/>
    <hyperlink ref="A15" location="'i. Mediation Process'!A1" display="i. Mediation Process" xr:uid="{7A15B499-E131-4525-9E5F-A6D4B04BD356}"/>
    <hyperlink ref="A16" location="'j. Support and Direct Services'!A1" display="j. Support and Direct Services" xr:uid="{34D294A7-A494-4E41-97E9-095252B9CA15}"/>
    <hyperlink ref="A17" location="'k. PBIS and Mental Health'!A1" display="k. PBIS and Mental Health" xr:uid="{F20045ED-2A9F-4E3E-8D86-4A1970CE8F9E}"/>
    <hyperlink ref="A18" location="'l. Personnel Shortages'!A1" display="l. Personnel Shortages" xr:uid="{65008DF7-ACF8-4B6D-9DE4-3133223C6BF1}"/>
    <hyperlink ref="A19" location="'m. Capacity Building'!A1" display="m. Capacity Building" xr:uid="{ADD580CD-4726-4A4A-A998-2C99764FEC17}"/>
    <hyperlink ref="A20" location="'n. Paperwork Reduction'!A1" display="n. Paperwork Reduction" xr:uid="{3B9AFC1E-C452-43FA-8238-590CE1353E51}"/>
    <hyperlink ref="A21" location="'o. Improve Tech Use in Class'!A1" display="o. Improve Tech Use in Class" xr:uid="{94256388-2D8C-45C8-B8B3-55364C17178B}"/>
    <hyperlink ref="A22" location="'p. Technology for Access'!A1" display="p. Technology for Access" xr:uid="{DB83F501-1786-448A-AADB-E73CE473114B}"/>
    <hyperlink ref="A23" location="'q. Transition Programs'!A1" display="q. Transition Programs" xr:uid="{F61F5ED5-18C2-4414-816F-66A13AC46870}"/>
    <hyperlink ref="A24" location="'r. Alternative Programming'!A1" display="r. Alternative Programming" xr:uid="{92C383A0-68E7-4A2C-BF54-2603E048BBFC}"/>
    <hyperlink ref="A26" location="'t. TA for Acad Achievement'!A1" display="t. TA for Acad Achievement" xr:uid="{DC46709A-8EDD-4FEE-B805-FECBFFAA0037}"/>
    <hyperlink ref="A4" location="'State Set-Aside Overview'!A1" display="State Set-Aside Overview" xr:uid="{26BCF8EE-CDC0-4660-9281-F285499F072D}"/>
    <hyperlink ref="A25" location="'s. Accom and Alt Assessments'!A1" display="s. Accom and Alt Assessments" xr:uid="{16113D60-E82A-429E-B5DE-DD601B123B4A}"/>
    <hyperlink ref="A27" location="'u-v. High Cost Fund'!A1" display="u-v. High Cost Fund" xr:uid="{B80AFC55-13FA-4EAA-BB3D-C6940C1F70E8}"/>
  </hyperlinks>
  <pageMargins left="0.7" right="0.7" top="0.75" bottom="0.75" header="0.3" footer="0.3"/>
  <ignoredErrors>
    <ignoredError sqref="I5:I23 H5:H23 E7:E23" unlockedFormula="1"/>
    <ignoredError sqref="I24" formula="1"/>
    <ignoredError sqref="K4:K23 G24 G4:G23 M4:M24" calculatedColumn="1"/>
    <ignoredError sqref="E24" formula="1" unlockedFormula="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1" id="{0113904B-1045-4BCE-9A06-A8C3595E3CA9}">
            <xm:f>'Getting Started'!$D$14="No"</xm:f>
            <x14:dxf>
              <fill>
                <patternFill>
                  <bgColor theme="1"/>
                </patternFill>
              </fill>
            </x14:dxf>
          </x14:cfRule>
          <xm:sqref>E4:E24</xm:sqref>
        </x14:conditionalFormatting>
        <x14:conditionalFormatting xmlns:xm="http://schemas.microsoft.com/office/excel/2006/main">
          <x14:cfRule type="expression" priority="4" id="{42A6BAA6-FB41-41BD-9CDE-ACFAACB1853F}">
            <xm:f>'Getting Started'!$D$15="No"</xm:f>
            <x14:dxf>
              <fill>
                <patternFill>
                  <bgColor theme="1"/>
                </patternFill>
              </fill>
            </x14:dxf>
          </x14:cfRule>
          <xm:sqref>H4:H24</xm:sqref>
        </x14:conditionalFormatting>
        <x14:conditionalFormatting xmlns:xm="http://schemas.microsoft.com/office/excel/2006/main">
          <x14:cfRule type="expression" priority="5" id="{73A976F8-5DEB-4826-8469-93BE9DA031AB}">
            <xm:f>'Getting Started'!$D$16="No"</xm:f>
            <x14:dxf>
              <font>
                <color auto="1"/>
              </font>
              <fill>
                <patternFill>
                  <bgColor theme="1"/>
                </patternFill>
              </fill>
            </x14:dxf>
          </x14:cfRule>
          <xm:sqref>I4:I24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bestFit="1" customWidth="1"/>
    <col min="4" max="11" width="16.54296875" customWidth="1"/>
    <col min="12" max="12" width="21.54296875" customWidth="1"/>
    <col min="13" max="13" width="16.54296875" customWidth="1"/>
    <col min="14" max="14" width="9.1796875" customWidth="1"/>
    <col min="15" max="16384" width="9.1796875" hidden="1"/>
  </cols>
  <sheetData>
    <row r="1" spans="1:13" ht="29.15" customHeight="1" x14ac:dyDescent="0.35">
      <c r="A1" s="77" t="s">
        <v>57</v>
      </c>
      <c r="C1" s="52" t="str">
        <f>IF('Getting Started'!D8="","Part C Administration",IF('Getting Started'!D8="Yes","Part C Administration",IF('Getting Started'!D8="No","Your SEA is not the Lead Agency for Part C. To change this, edit your response in cell D8 on the Getting Started tab.")))</f>
        <v>Your SEA is not the Lead Agency for Part C. To change this, edit your response in cell D8 on the Getting Started tab.</v>
      </c>
      <c r="D1" s="11"/>
      <c r="E1" s="11"/>
      <c r="F1" s="11"/>
      <c r="G1" s="11"/>
      <c r="H1" s="11"/>
      <c r="I1" s="11"/>
      <c r="J1" s="11"/>
      <c r="K1" s="11"/>
      <c r="L1" s="11"/>
      <c r="M1" s="11"/>
    </row>
    <row r="2" spans="1:13" ht="46.5"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M24" si="0">SUM(F4:F23)</f>
        <v>0</v>
      </c>
      <c r="G24" s="39">
        <f t="shared" si="0"/>
        <v>0</v>
      </c>
      <c r="H24" s="41">
        <f>IF('Getting Started'!D15="No","",SUM(H4:H23))</f>
        <v>0</v>
      </c>
      <c r="I24" s="41">
        <f>IF('Getting Started'!D16="No","",SUM(I4:I23))</f>
        <v>0</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mWNAyBGLdfm6zTZXemrtEk0d6PsMtuW8cIMgwGeiT55KkJAmdaECM+wi1gwH4zbVHgTdm01wuRtMCV5ZnmgvCg==" saltValue="9M1OHi6egQbUI0XM3nvAmA==" spinCount="100000" sheet="1" objects="1" scenarios="1"/>
  <mergeCells count="1">
    <mergeCell ref="A28:N28"/>
  </mergeCells>
  <phoneticPr fontId="12" type="noConversion"/>
  <conditionalFormatting sqref="G4:G24">
    <cfRule type="cellIs" dxfId="80" priority="2" operator="lessThan">
      <formula>0</formula>
    </cfRule>
  </conditionalFormatting>
  <conditionalFormatting sqref="K4:K24">
    <cfRule type="cellIs" dxfId="77" priority="1" operator="lessThan">
      <formula>0</formula>
    </cfRule>
  </conditionalFormatting>
  <conditionalFormatting sqref="M4:M24">
    <cfRule type="cellIs" dxfId="76" priority="3" operator="lessThan">
      <formula>0</formula>
    </cfRule>
  </conditionalFormatting>
  <dataValidations count="3">
    <dataValidation allowBlank="1" showInputMessage="1" showErrorMessage="1" prompt="To create a revised budget, select &quot;Yes&quot; in cell D14 on the Getting Started tab." sqref="E4" xr:uid="{994EC327-0E7C-43BF-BD22-64792789534D}"/>
    <dataValidation allowBlank="1" showInputMessage="1" showErrorMessage="1" prompt="To create a Tydings Period budget, select “Yes” in cell D15 on the Getting Started tab." sqref="H4" xr:uid="{BD2298B6-A668-4F3A-863E-4B89FFFEE07C}"/>
    <dataValidation allowBlank="1" showInputMessage="1" showErrorMessage="1" prompt="To create a revised Tydings Period budget, select “Yes” in cell D16 on the Getting Started tab." sqref="I4" xr:uid="{4759FDAE-7091-4C7D-A185-3410EA1A57F3}"/>
  </dataValidations>
  <hyperlinks>
    <hyperlink ref="A2" location="'Table of Contents'!A1" display="Table of Contents" xr:uid="{52732601-91D6-40A9-AADC-AE0A2A665C8E}"/>
    <hyperlink ref="A3" location="'Getting Started'!A1" display="Getting Started" xr:uid="{DBE00527-23F1-4AE8-A349-CB6EBEA95BCF}"/>
    <hyperlink ref="A6" location="'a. Part B Administration'!A1" display="a. Part B Administration" xr:uid="{D205EA18-D57C-44B4-9DD5-B4993E70A23F}"/>
    <hyperlink ref="A7" location="'b. Part C Administration'!A1" display="b. Part C Administration" xr:uid="{D8188D75-0A82-4E9E-B1FF-B9A9A8DC1CEA}"/>
    <hyperlink ref="A9" location="'d. PBIS and Mental Health'!A1" display="d. PBIS and Mental Health" xr:uid="{F8D55136-D9DB-4A27-BD6A-4E36813EE3B7}"/>
    <hyperlink ref="A10" location="'e. Personnel Shortages'!A1" display="e. Personnel Shortages" xr:uid="{636C28F2-29EF-4040-9A67-CB1C9CF1558D}"/>
    <hyperlink ref="A8" location="'c. Support and Direct Services'!A1" display="c. Support and Direct Services" xr:uid="{A83A2A44-C05A-4A0C-A073-AB7041D43C9A}"/>
    <hyperlink ref="A11" location="'f. Capacity Building'!A1" display="f. Capacity Building" xr:uid="{62FE8FC6-652A-4635-8F5B-032F03FE8636}"/>
    <hyperlink ref="A12" location="'g. Joint Part C Policy'!A1" display="g. Joint Part C Policy" xr:uid="{AB91111B-8AAC-4CFC-B197-21AB639DC9EE}"/>
    <hyperlink ref="A14" location="'h. Monitoring and Enforcement'!A1" display="h. Monitoring and Enforcement" xr:uid="{14E6925A-CC06-4DFF-98BE-965CAC117406}"/>
    <hyperlink ref="A15" location="'i. Mediation Process'!A1" display="i. Mediation Process" xr:uid="{8E461BB6-98FB-4949-95DE-E74C1D457E09}"/>
    <hyperlink ref="A16" location="'j. Support and Direct Services'!A1" display="j. Support and Direct Services" xr:uid="{CBFEE74A-4021-4BEF-BBEB-9F1CC8CD12AD}"/>
    <hyperlink ref="A17" location="'k. PBIS and Mental Health'!A1" display="k. PBIS and Mental Health" xr:uid="{4FB9B3F9-1790-4BC9-BC15-5F37D10407A3}"/>
    <hyperlink ref="A18" location="'l. Personnel Shortages'!A1" display="l. Personnel Shortages" xr:uid="{628CEE31-BAF1-4181-91E4-5058C2CEAF16}"/>
    <hyperlink ref="A19" location="'m. Capacity Building'!A1" display="m. Capacity Building" xr:uid="{C13495F1-4126-4DDA-A8E4-EAD822B80E23}"/>
    <hyperlink ref="A20" location="'n. Paperwork Reduction'!A1" display="n. Paperwork Reduction" xr:uid="{058552EC-47F1-4E2B-A51D-C542533E49FA}"/>
    <hyperlink ref="A21" location="'o. Improve Tech Use in Class'!A1" display="o. Improve Tech Use in Class" xr:uid="{80A9FB31-9704-44A0-B213-80559F938BF9}"/>
    <hyperlink ref="A22" location="'p. Technology for Access'!A1" display="p. Technology for Access" xr:uid="{9926E216-2B2F-494F-9ECB-5DFE7797403D}"/>
    <hyperlink ref="A23" location="'q. Transition Programs'!A1" display="q. Transition Programs" xr:uid="{C68FBFD7-536D-42AA-B531-9FDCE2728E86}"/>
    <hyperlink ref="A24" location="'r. Alternative Programming'!A1" display="r. Alternative Programming" xr:uid="{B9218167-2DC9-4DC0-9619-8956105370DB}"/>
    <hyperlink ref="A26" location="'t. TA for Acad Achievement'!A1" display="t. TA for Acad Achievement" xr:uid="{BEE33837-F153-4CDB-B2A9-931F17B5F59F}"/>
    <hyperlink ref="A27" location="'u-v. High Cost Fund'!A1" display="u-v. High Cost Fund" xr:uid="{BC67FE77-725C-445E-9ED0-92A4651003D6}"/>
    <hyperlink ref="A4" location="'State Set-Aside Overview'!A1" display="State Set-Aside Overview" xr:uid="{5FD9939C-CD31-4E71-9A8A-EB6EC63E7A81}"/>
    <hyperlink ref="A25" location="'s. Accom and Alt Assessments'!A1" display="s. Accom and Alt Assessments" xr:uid="{9C0E5D09-D357-45A7-9CAA-2A340E164DF9}"/>
  </hyperlinks>
  <pageMargins left="0.7" right="0.7" top="0.75" bottom="0.75" header="0.3" footer="0.3"/>
  <pageSetup orientation="portrait" r:id="rId1"/>
  <ignoredErrors>
    <ignoredError sqref="E5:E23 H5:I23" unlockedFormula="1"/>
    <ignoredError sqref="E24 I24" formula="1"/>
    <ignoredError sqref="G4:G24 K4:K24 M4:M24"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expression" priority="4" id="{96585272-A340-4D96-B1EF-679E490D0A39}">
            <xm:f>'Getting Started'!$D$8="No"</xm:f>
            <x14:dxf>
              <font>
                <color theme="1"/>
              </font>
              <fill>
                <patternFill>
                  <bgColor theme="1"/>
                </patternFill>
              </fill>
            </x14:dxf>
          </x14:cfRule>
          <xm:sqref>C4:M24</xm:sqref>
        </x14:conditionalFormatting>
        <x14:conditionalFormatting xmlns:xm="http://schemas.microsoft.com/office/excel/2006/main">
          <x14:cfRule type="expression" priority="7" id="{04B61E1E-377A-4CE4-BD1A-A63A2F8200FF}">
            <xm:f>'Getting Started'!$D$14="No"</xm:f>
            <x14:dxf>
              <fill>
                <patternFill>
                  <bgColor theme="1"/>
                </patternFill>
              </fill>
            </x14:dxf>
          </x14:cfRule>
          <xm:sqref>E4:E24</xm:sqref>
        </x14:conditionalFormatting>
        <x14:conditionalFormatting xmlns:xm="http://schemas.microsoft.com/office/excel/2006/main">
          <x14:cfRule type="expression" priority="5" id="{17CF4C81-E0B1-4D44-A40B-BA029D0A23D0}">
            <xm:f>'Getting Started'!$D$15="No"</xm:f>
            <x14:dxf>
              <fill>
                <patternFill>
                  <bgColor theme="1"/>
                </patternFill>
              </fill>
            </x14:dxf>
          </x14:cfRule>
          <xm:sqref>H4:H24</xm:sqref>
        </x14:conditionalFormatting>
        <x14:conditionalFormatting xmlns:xm="http://schemas.microsoft.com/office/excel/2006/main">
          <x14:cfRule type="expression" priority="6" id="{08A7ADB8-ACF3-490C-9940-3CDFAFA6A76E}">
            <xm:f>'Getting Started'!$D$16="No"</xm:f>
            <x14:dxf>
              <fill>
                <patternFill>
                  <bgColor theme="1"/>
                </patternFill>
              </fill>
            </x14:dxf>
          </x14:cfRule>
          <xm:sqref>I4:I24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5" tint="0.39997558519241921"/>
  </sheetPr>
  <dimension ref="A1:N28"/>
  <sheetViews>
    <sheetView showGridLines="0" zoomScaleNormal="10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184</v>
      </c>
      <c r="D1" s="11"/>
      <c r="E1" s="11"/>
      <c r="F1" s="11"/>
      <c r="G1" s="11"/>
      <c r="H1" s="11"/>
      <c r="I1" s="11"/>
      <c r="J1" s="11"/>
      <c r="K1" s="11"/>
      <c r="L1" s="11"/>
      <c r="M1" s="11"/>
    </row>
    <row r="2" spans="1:13" ht="51.75" customHeight="1"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M24" si="0">SUM(F4:F23)</f>
        <v>0</v>
      </c>
      <c r="G24" s="39">
        <f t="shared" si="0"/>
        <v>0</v>
      </c>
      <c r="H24" s="41">
        <f>IF('Getting Started'!D15="No","",SUM(H4:H23))</f>
        <v>0</v>
      </c>
      <c r="I24" s="41">
        <f>IF('Getting Started'!D16="No","",SUM(I4:I23))</f>
        <v>0</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tryV/5gop6AhZs/UdvvEwOXNTU4+YTWk3kCfiPqEl8H/WnIJdFKc+pwLVWoprZ3VmYvIFmNadKfVwfnv+eSHUg==" saltValue="daVGbOD69T3fPY2sL3sXSA==" spinCount="100000" sheet="1" objects="1" scenarios="1"/>
  <mergeCells count="1">
    <mergeCell ref="A28:N28"/>
  </mergeCells>
  <conditionalFormatting sqref="G4:G24 K4:K24 M4:M24">
    <cfRule type="cellIs" dxfId="74" priority="1" operator="lessThan">
      <formula>0</formula>
    </cfRule>
  </conditionalFormatting>
  <dataValidations count="3">
    <dataValidation allowBlank="1" showInputMessage="1" showErrorMessage="1" prompt="To create a revised budget, select &quot;Yes&quot; in cell D14 on the Getting Started tab." sqref="E4" xr:uid="{75B12BF8-564A-49E4-B815-63213C94A37C}"/>
    <dataValidation allowBlank="1" showInputMessage="1" showErrorMessage="1" prompt="To create a Tydings Period budget, select “Yes” in cell D15 on the Getting Started tab." sqref="H4" xr:uid="{26C4F0DD-8334-46FC-9F33-86888FD5A5CD}"/>
    <dataValidation allowBlank="1" showInputMessage="1" showErrorMessage="1" prompt="To create a revised Tydings Period budget, select “Yes” in cell D16 on the Getting Started tab." sqref="I4" xr:uid="{06B83FE2-F8CA-4345-884B-27BBCDEC9884}"/>
  </dataValidations>
  <hyperlinks>
    <hyperlink ref="A2" location="'Table of Contents'!A1" display="Table of Contents" xr:uid="{9BFB26C1-6C47-43BB-B264-7D0A56FDD546}"/>
    <hyperlink ref="A3" location="'Getting Started'!A1" display="Getting Started" xr:uid="{63F33132-E4B1-4AD8-8B70-056DC42A457A}"/>
    <hyperlink ref="A6" location="'a. Part B Administration'!A1" display="a. Part B Administration" xr:uid="{10752F56-BE89-43EF-8376-FB0CB798DB06}"/>
    <hyperlink ref="A7" location="'b. Part C Administration'!A1" display="b. Part C Administration" xr:uid="{C372DE5B-7635-4934-8F59-57AFF94724C7}"/>
    <hyperlink ref="A9" location="'d. PBIS and Mental Health'!A1" display="d. PBIS and Mental Health" xr:uid="{AF18C600-88E7-4FFA-8DCD-31A965117AB5}"/>
    <hyperlink ref="A10" location="'e. Personnel Shortages'!A1" display="e. Personnel Shortages" xr:uid="{BD9EB795-B8F3-44DB-8792-C14932FAAE52}"/>
    <hyperlink ref="A8" location="'c. Support and Direct Services'!A1" display="c. Support and Direct Services" xr:uid="{50215051-7F8F-49D0-AF2F-D9902C13730E}"/>
    <hyperlink ref="A12" location="'g. Joint Part C Policy'!A1" display="g. Joint Part C Policy" xr:uid="{4CAD4470-AC80-4375-A91E-39F6C485140B}"/>
    <hyperlink ref="A14" location="'h. Monitoring and Enforcement'!A1" display="h. Monitoring and Enforcement" xr:uid="{1A393A80-4F7C-4C99-9B1C-0CB4F9441A26}"/>
    <hyperlink ref="A15" location="'i. Mediation Process'!A1" display="i. Mediation Process" xr:uid="{6088693A-FE8F-495B-BB7D-5EDEDF589A44}"/>
    <hyperlink ref="A16" location="'j. Support and Direct Services'!A1" display="j. Support and Direct Services" xr:uid="{CB1C7DF8-ED76-437B-B83C-33077720E537}"/>
    <hyperlink ref="A17" location="'k. PBIS and Mental Health'!A1" display="k. PBIS and Mental Health" xr:uid="{F6EFE9E3-4C29-4874-94E1-A77476C010F2}"/>
    <hyperlink ref="A18" location="'l. Personnel Shortages'!A1" display="l. Personnel Shortages" xr:uid="{EEBAC602-8062-49CE-BEF6-BCC5E2D10698}"/>
    <hyperlink ref="A19" location="'m. Capacity Building'!A1" display="m. Capacity Building" xr:uid="{2470D870-DCFD-48FF-9CB0-4A0BC1A7181F}"/>
    <hyperlink ref="A20" location="'n. Paperwork Reduction'!A1" display="n. Paperwork Reduction" xr:uid="{A8E45883-DFF2-4AE2-A154-8D3E9257FA93}"/>
    <hyperlink ref="A21" location="'o. Improve Tech Use in Class'!A1" display="o. Improve Tech Use in Class" xr:uid="{851951AE-9062-4DD5-9AF1-DEA2DD06FC09}"/>
    <hyperlink ref="A22" location="'p. Technology for Access'!A1" display="p. Technology for Access" xr:uid="{7DA8D4E0-51A1-4D09-BD21-DEA7AA67A012}"/>
    <hyperlink ref="A23" location="'q. Transition Programs'!A1" display="q. Transition Programs" xr:uid="{AD6EB368-518C-4685-8CEC-FE2A2A3AC8EE}"/>
    <hyperlink ref="A24" location="'r. Alternative Programming'!A1" display="r. Alternative Programming" xr:uid="{31355D16-3CAC-4434-A4A6-FCFAD3E117E8}"/>
    <hyperlink ref="A26" location="'t. TA for Acad Achievement'!A1" display="t. TA for Acad Achievement" xr:uid="{A7A67C00-E746-44DC-9CC7-FD888F45EA5C}"/>
    <hyperlink ref="A27" location="'u-v. High Cost Fund'!A1" display="u-v. High Cost Fund" xr:uid="{D9F50A5E-04ED-4EA2-82C9-466DFDC1EB6B}"/>
    <hyperlink ref="A4" location="'State Set-Aside Overview'!A1" display="State Set-Aside Overview" xr:uid="{3278E647-46CA-449A-92DB-F414C0B7A718}"/>
    <hyperlink ref="A11" location="'f. Capacity Building'!A1" display="f. Capacity Building" xr:uid="{EA87F1E3-BF66-4278-A019-08564A4B56BD}"/>
    <hyperlink ref="A25" location="'s. Accom and Alt Assessments'!A1" display="s. Accom and Alt Assessments" xr:uid="{FC092B79-8D44-4F66-A615-AED502735E99}"/>
  </hyperlinks>
  <pageMargins left="0.7" right="0.7" top="0.75" bottom="0.75" header="0.3" footer="0.3"/>
  <ignoredErrors>
    <ignoredError sqref="H23:I23 E20:E23 H19:I22 E5:E19 H5:I18" unlockedFormula="1"/>
    <ignoredError sqref="I24 E24" formula="1"/>
    <ignoredError sqref="M19:M24 K19:K24 G19:G24 G4:G18 K4:K18 M4:M18"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BD3E2D8B-3E3B-49DD-A3B5-F1ECD1D20D48}">
            <xm:f>'Getting Started'!$D$14="No"</xm:f>
            <x14:dxf>
              <fill>
                <patternFill>
                  <bgColor theme="1"/>
                </patternFill>
              </fill>
            </x14:dxf>
          </x14:cfRule>
          <xm:sqref>E4:E24</xm:sqref>
        </x14:conditionalFormatting>
        <x14:conditionalFormatting xmlns:xm="http://schemas.microsoft.com/office/excel/2006/main">
          <x14:cfRule type="expression" priority="2" id="{A6563960-2703-4EE8-886C-72C46DCD4814}">
            <xm:f>'Getting Started'!$D$15="No"</xm:f>
            <x14:dxf>
              <fill>
                <patternFill>
                  <bgColor theme="1"/>
                </patternFill>
              </fill>
            </x14:dxf>
          </x14:cfRule>
          <xm:sqref>H4:H24</xm:sqref>
        </x14:conditionalFormatting>
        <x14:conditionalFormatting xmlns:xm="http://schemas.microsoft.com/office/excel/2006/main">
          <x14:cfRule type="expression" priority="3" id="{B28D05DD-5F8F-40CC-8563-D2CD34C33A06}">
            <xm:f>'Getting Started'!$D$16="No"</xm:f>
            <x14:dxf>
              <fill>
                <patternFill>
                  <bgColor theme="1"/>
                </patternFill>
              </fill>
            </x14:dxf>
          </x14:cfRule>
          <xm:sqref>I4:I24</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5" tint="0.39997558519241921"/>
  </sheetPr>
  <dimension ref="A1:N28"/>
  <sheetViews>
    <sheetView showGridLines="0" workbookViewId="0"/>
  </sheetViews>
  <sheetFormatPr defaultColWidth="0" defaultRowHeight="14.5" zeroHeight="1" x14ac:dyDescent="0.35"/>
  <cols>
    <col min="1" max="1" width="31.81640625" customWidth="1"/>
    <col min="2" max="2" width="2.81640625" customWidth="1"/>
    <col min="3" max="3" width="40.81640625" customWidth="1"/>
    <col min="4" max="11" width="16.54296875" customWidth="1"/>
    <col min="12" max="12" width="21.54296875" customWidth="1"/>
    <col min="13" max="13" width="16.54296875" customWidth="1"/>
    <col min="14" max="14" width="9.1796875" customWidth="1"/>
    <col min="15" max="16384" width="9.1796875" hidden="1"/>
  </cols>
  <sheetData>
    <row r="1" spans="1:13" ht="28.75" customHeight="1" x14ac:dyDescent="0.35">
      <c r="A1" s="77" t="s">
        <v>57</v>
      </c>
      <c r="C1" s="52" t="s">
        <v>185</v>
      </c>
      <c r="D1" s="11"/>
      <c r="E1" s="11"/>
      <c r="F1" s="11"/>
      <c r="G1" s="11"/>
      <c r="H1" s="11"/>
      <c r="I1" s="11"/>
      <c r="J1" s="11"/>
      <c r="K1" s="11"/>
      <c r="L1" s="11"/>
      <c r="M1" s="11"/>
    </row>
    <row r="2" spans="1:13" ht="51.75" customHeight="1" x14ac:dyDescent="0.35">
      <c r="A2" s="80" t="s">
        <v>6</v>
      </c>
      <c r="C2" s="118" t="str">
        <f>IF(AND('Getting Started'!D14="Yes",'Getting Started'!D15="Yes",'Getting Started'!D16="Yes"),"","Note: To remove blackout and enter data in columns E, H, and I, select 'Yes' on the Getting Started tab in cells D14, D15, and D16, respectively.")</f>
        <v/>
      </c>
      <c r="D2" s="43" t="str">
        <f>CONCATENATE("Grant Award FFY ",'Getting Started'!D3," Budget Period (July 1, ",'Getting Started'!D3,"-September 30, ",'Getting Started'!D3+1,")")</f>
        <v>Grant Award FFY 2025 Budget Period (July 1, 2025-September 30, 2026)</v>
      </c>
      <c r="E2" s="53"/>
      <c r="F2" s="11"/>
      <c r="G2" s="11"/>
      <c r="H2" s="43" t="str">
        <f>CONCATENATE("Grant Award FFY ",'Getting Started'!D3," Tydings Period (October 1, ",'Getting Started'!D3+1,"-September 30, ",'Getting Started'!D3+2,")")</f>
        <v>Grant Award FFY 2025 Tydings Period (October 1, 2026-September 30, 2027)</v>
      </c>
      <c r="I2" s="11"/>
      <c r="J2" s="11"/>
      <c r="K2" s="11"/>
      <c r="L2" s="43" t="str">
        <f>CONCATENATE("Grant Award FFY ",'Getting Started'!D3," Liquidation Period (October 1, ",'Getting Started'!D3+2,"-January 28, ",'Getting Started'!D3+3,")")</f>
        <v>Grant Award FFY 2025 Liquidation Period (October 1, 2027-January 28, 2028)</v>
      </c>
      <c r="M2" s="53"/>
    </row>
    <row r="3" spans="1:13" ht="57.65" customHeight="1" x14ac:dyDescent="0.35">
      <c r="A3" s="80" t="s">
        <v>9</v>
      </c>
      <c r="C3" s="44" t="s">
        <v>179</v>
      </c>
      <c r="D3" s="48" t="s">
        <v>152</v>
      </c>
      <c r="E3" s="54" t="s">
        <v>153</v>
      </c>
      <c r="F3" s="55" t="s">
        <v>154</v>
      </c>
      <c r="G3" s="56" t="s">
        <v>155</v>
      </c>
      <c r="H3" s="57" t="s">
        <v>156</v>
      </c>
      <c r="I3" s="50" t="s">
        <v>157</v>
      </c>
      <c r="J3" s="49" t="s">
        <v>158</v>
      </c>
      <c r="K3" s="50" t="s">
        <v>159</v>
      </c>
      <c r="L3" s="58" t="s">
        <v>160</v>
      </c>
      <c r="M3" s="59" t="s">
        <v>161</v>
      </c>
    </row>
    <row r="4" spans="1:13" x14ac:dyDescent="0.35">
      <c r="A4" s="80" t="s">
        <v>11</v>
      </c>
      <c r="C4" s="64"/>
      <c r="D4" s="16"/>
      <c r="E4" s="38">
        <f>IF('Getting Started'!D$14="Yes",D4,"")</f>
        <v>0</v>
      </c>
      <c r="F4" s="17"/>
      <c r="G4" s="39">
        <f>IF('Getting Started'!D$14="No",D4-F4,IF('Getting Started'!D$14="Yes",E4-F4,""))</f>
        <v>0</v>
      </c>
      <c r="H4" s="60">
        <f>IF('Getting Started'!D$15="Yes",G4,"")</f>
        <v>0</v>
      </c>
      <c r="I4" s="61">
        <f>IF('Getting Started'!D$16="Yes",H4,"")</f>
        <v>0</v>
      </c>
      <c r="J4" s="62"/>
      <c r="K4" s="39">
        <f>IF('Getting Started'!D$15="No","",IF('Getting Started'!D$16="No",H4-J4,IF('Getting Started'!D$16="Yes",I4-J4,"")))</f>
        <v>0</v>
      </c>
      <c r="L4" s="63"/>
      <c r="M4" s="39">
        <f>IF('Getting Started'!D$15="No","",K4-L4)</f>
        <v>0</v>
      </c>
    </row>
    <row r="5" spans="1:13" x14ac:dyDescent="0.35">
      <c r="A5" s="95" t="s">
        <v>66</v>
      </c>
      <c r="C5" s="64"/>
      <c r="D5" s="16"/>
      <c r="E5" s="38">
        <f>IF('Getting Started'!D$14="Yes",D5,"")</f>
        <v>0</v>
      </c>
      <c r="F5" s="17"/>
      <c r="G5" s="39">
        <f>IF('Getting Started'!D$14="No",D5-F5,IF('Getting Started'!D$14="Yes",E5-F5,""))</f>
        <v>0</v>
      </c>
      <c r="H5" s="60">
        <f>IF('Getting Started'!D$15="Yes",G5,"")</f>
        <v>0</v>
      </c>
      <c r="I5" s="61">
        <f>IF('Getting Started'!D$16="Yes",H5,"")</f>
        <v>0</v>
      </c>
      <c r="J5" s="62"/>
      <c r="K5" s="39">
        <f>IF('Getting Started'!D$15="No","",IF('Getting Started'!D$16="No",H5-J5,IF('Getting Started'!D$16="Yes",I5-J5,"")))</f>
        <v>0</v>
      </c>
      <c r="L5" s="63"/>
      <c r="M5" s="39">
        <f>IF('Getting Started'!D$15="No","",K5-L5)</f>
        <v>0</v>
      </c>
    </row>
    <row r="6" spans="1:13" x14ac:dyDescent="0.35">
      <c r="A6" s="78" t="s">
        <v>14</v>
      </c>
      <c r="C6" s="64"/>
      <c r="D6" s="16"/>
      <c r="E6" s="38">
        <f>IF('Getting Started'!D$14="Yes",D6,"")</f>
        <v>0</v>
      </c>
      <c r="F6" s="17"/>
      <c r="G6" s="39">
        <f>IF('Getting Started'!D$14="No",D6-F6,IF('Getting Started'!D$14="Yes",E6-F6,""))</f>
        <v>0</v>
      </c>
      <c r="H6" s="60">
        <f>IF('Getting Started'!D$15="Yes",G6,"")</f>
        <v>0</v>
      </c>
      <c r="I6" s="61">
        <f>IF('Getting Started'!D$16="Yes",H6,"")</f>
        <v>0</v>
      </c>
      <c r="J6" s="62"/>
      <c r="K6" s="39">
        <f>IF('Getting Started'!D$15="No","",IF('Getting Started'!D$16="No",H6-J6,IF('Getting Started'!D$16="Yes",I6-J6,"")))</f>
        <v>0</v>
      </c>
      <c r="L6" s="63"/>
      <c r="M6" s="39">
        <f>IF('Getting Started'!D$15="No","",K6-L6)</f>
        <v>0</v>
      </c>
    </row>
    <row r="7" spans="1:13" x14ac:dyDescent="0.35">
      <c r="A7" s="78" t="s">
        <v>16</v>
      </c>
      <c r="C7" s="64"/>
      <c r="D7" s="16"/>
      <c r="E7" s="38">
        <f>IF('Getting Started'!D$14="Yes",D7,"")</f>
        <v>0</v>
      </c>
      <c r="F7" s="17"/>
      <c r="G7" s="39">
        <f>IF('Getting Started'!D$14="No",D7-F7,IF('Getting Started'!D$14="Yes",E7-F7,""))</f>
        <v>0</v>
      </c>
      <c r="H7" s="60">
        <f>IF('Getting Started'!D$15="Yes",G7,"")</f>
        <v>0</v>
      </c>
      <c r="I7" s="61">
        <f>IF('Getting Started'!D$16="Yes",H7,"")</f>
        <v>0</v>
      </c>
      <c r="J7" s="62"/>
      <c r="K7" s="39">
        <f>IF('Getting Started'!D$15="No","",IF('Getting Started'!D$16="No",H7-J7,IF('Getting Started'!D$16="Yes",I7-J7,"")))</f>
        <v>0</v>
      </c>
      <c r="L7" s="63"/>
      <c r="M7" s="39">
        <f>IF('Getting Started'!D$15="No","",K7-L7)</f>
        <v>0</v>
      </c>
    </row>
    <row r="8" spans="1:13" x14ac:dyDescent="0.35">
      <c r="A8" s="78" t="s">
        <v>18</v>
      </c>
      <c r="C8" s="64"/>
      <c r="D8" s="16"/>
      <c r="E8" s="38">
        <f>IF('Getting Started'!D$14="Yes",D8,"")</f>
        <v>0</v>
      </c>
      <c r="F8" s="17"/>
      <c r="G8" s="39">
        <f>IF('Getting Started'!D$14="No",D8-F8,IF('Getting Started'!D$14="Yes",E8-F8,""))</f>
        <v>0</v>
      </c>
      <c r="H8" s="60">
        <f>IF('Getting Started'!D$15="Yes",G8,"")</f>
        <v>0</v>
      </c>
      <c r="I8" s="61">
        <f>IF('Getting Started'!D$16="Yes",H8,"")</f>
        <v>0</v>
      </c>
      <c r="J8" s="62"/>
      <c r="K8" s="39">
        <f>IF('Getting Started'!D$15="No","",IF('Getting Started'!D$16="No",H8-J8,IF('Getting Started'!D$16="Yes",I8-J8,"")))</f>
        <v>0</v>
      </c>
      <c r="L8" s="63"/>
      <c r="M8" s="39">
        <f>IF('Getting Started'!D$15="No","",K8-L8)</f>
        <v>0</v>
      </c>
    </row>
    <row r="9" spans="1:13" x14ac:dyDescent="0.35">
      <c r="A9" s="78" t="s">
        <v>20</v>
      </c>
      <c r="C9" s="64"/>
      <c r="D9" s="16"/>
      <c r="E9" s="38">
        <f>IF('Getting Started'!D$14="Yes",D9,"")</f>
        <v>0</v>
      </c>
      <c r="F9" s="17"/>
      <c r="G9" s="39">
        <f>IF('Getting Started'!D$14="No",D9-F9,IF('Getting Started'!D$14="Yes",E9-F9,""))</f>
        <v>0</v>
      </c>
      <c r="H9" s="60">
        <f>IF('Getting Started'!D$15="Yes",G9,"")</f>
        <v>0</v>
      </c>
      <c r="I9" s="61">
        <f>IF('Getting Started'!D$16="Yes",H9,"")</f>
        <v>0</v>
      </c>
      <c r="J9" s="62"/>
      <c r="K9" s="39">
        <f>IF('Getting Started'!D$15="No","",IF('Getting Started'!D$16="No",H9-J9,IF('Getting Started'!D$16="Yes",I9-J9,"")))</f>
        <v>0</v>
      </c>
      <c r="L9" s="63"/>
      <c r="M9" s="39">
        <f>IF('Getting Started'!D$15="No","",K9-L9)</f>
        <v>0</v>
      </c>
    </row>
    <row r="10" spans="1:13" x14ac:dyDescent="0.35">
      <c r="A10" s="78" t="s">
        <v>22</v>
      </c>
      <c r="C10" s="64"/>
      <c r="D10" s="16"/>
      <c r="E10" s="38">
        <f>IF('Getting Started'!D$14="Yes",D10,"")</f>
        <v>0</v>
      </c>
      <c r="F10" s="17"/>
      <c r="G10" s="39">
        <f>IF('Getting Started'!D$14="No",D10-F10,IF('Getting Started'!D$14="Yes",E10-F10,""))</f>
        <v>0</v>
      </c>
      <c r="H10" s="60">
        <f>IF('Getting Started'!D$15="Yes",G10,"")</f>
        <v>0</v>
      </c>
      <c r="I10" s="61">
        <f>IF('Getting Started'!D$16="Yes",H10,"")</f>
        <v>0</v>
      </c>
      <c r="J10" s="62"/>
      <c r="K10" s="39">
        <f>IF('Getting Started'!D$15="No","",IF('Getting Started'!D$16="No",H10-J10,IF('Getting Started'!D$16="Yes",I10-J10,"")))</f>
        <v>0</v>
      </c>
      <c r="L10" s="63"/>
      <c r="M10" s="39">
        <f>IF('Getting Started'!D$15="No","",K10-L10)</f>
        <v>0</v>
      </c>
    </row>
    <row r="11" spans="1:13" x14ac:dyDescent="0.35">
      <c r="A11" s="78" t="s">
        <v>24</v>
      </c>
      <c r="C11" s="64"/>
      <c r="D11" s="16"/>
      <c r="E11" s="38">
        <f>IF('Getting Started'!D$14="Yes",D11,"")</f>
        <v>0</v>
      </c>
      <c r="F11" s="17"/>
      <c r="G11" s="39">
        <f>IF('Getting Started'!D$14="No",D11-F11,IF('Getting Started'!D$14="Yes",E11-F11,""))</f>
        <v>0</v>
      </c>
      <c r="H11" s="60">
        <f>IF('Getting Started'!D$15="Yes",G11,"")</f>
        <v>0</v>
      </c>
      <c r="I11" s="61">
        <f>IF('Getting Started'!D$16="Yes",H11,"")</f>
        <v>0</v>
      </c>
      <c r="J11" s="62"/>
      <c r="K11" s="39">
        <f>IF('Getting Started'!D$15="No","",IF('Getting Started'!D$16="No",H11-J11,IF('Getting Started'!D$16="Yes",I11-J11,"")))</f>
        <v>0</v>
      </c>
      <c r="L11" s="63"/>
      <c r="M11" s="39">
        <f>IF('Getting Started'!D$15="No","",K11-L11)</f>
        <v>0</v>
      </c>
    </row>
    <row r="12" spans="1:13" x14ac:dyDescent="0.35">
      <c r="A12" s="78" t="s">
        <v>26</v>
      </c>
      <c r="C12" s="64"/>
      <c r="D12" s="16"/>
      <c r="E12" s="38">
        <f>IF('Getting Started'!D$14="Yes",D12,"")</f>
        <v>0</v>
      </c>
      <c r="F12" s="17"/>
      <c r="G12" s="39">
        <f>IF('Getting Started'!D$14="No",D12-F12,IF('Getting Started'!D$14="Yes",E12-F12,""))</f>
        <v>0</v>
      </c>
      <c r="H12" s="60">
        <f>IF('Getting Started'!D$15="Yes",G12,"")</f>
        <v>0</v>
      </c>
      <c r="I12" s="61">
        <f>IF('Getting Started'!D$16="Yes",H12,"")</f>
        <v>0</v>
      </c>
      <c r="J12" s="62"/>
      <c r="K12" s="39">
        <f>IF('Getting Started'!D$15="No","",IF('Getting Started'!D$16="No",H12-J12,IF('Getting Started'!D$16="Yes",I12-J12,"")))</f>
        <v>0</v>
      </c>
      <c r="L12" s="63"/>
      <c r="M12" s="39">
        <f>IF('Getting Started'!D$15="No","",K12-L12)</f>
        <v>0</v>
      </c>
    </row>
    <row r="13" spans="1:13" x14ac:dyDescent="0.35">
      <c r="A13" s="95" t="s">
        <v>28</v>
      </c>
      <c r="C13" s="64"/>
      <c r="D13" s="16"/>
      <c r="E13" s="38">
        <f>IF('Getting Started'!D$14="Yes",D13,"")</f>
        <v>0</v>
      </c>
      <c r="F13" s="17"/>
      <c r="G13" s="39">
        <f>IF('Getting Started'!D$14="No",D13-F13,IF('Getting Started'!D$14="Yes",E13-F13,""))</f>
        <v>0</v>
      </c>
      <c r="H13" s="60">
        <f>IF('Getting Started'!D$15="Yes",G13,"")</f>
        <v>0</v>
      </c>
      <c r="I13" s="61">
        <f>IF('Getting Started'!D$16="Yes",H13,"")</f>
        <v>0</v>
      </c>
      <c r="J13" s="62"/>
      <c r="K13" s="39">
        <f>IF('Getting Started'!D$15="No","",IF('Getting Started'!D$16="No",H13-J13,IF('Getting Started'!D$16="Yes",I13-J13,"")))</f>
        <v>0</v>
      </c>
      <c r="L13" s="63"/>
      <c r="M13" s="39">
        <f>IF('Getting Started'!D$15="No","",K13-L13)</f>
        <v>0</v>
      </c>
    </row>
    <row r="14" spans="1:13" x14ac:dyDescent="0.35">
      <c r="A14" s="78" t="s">
        <v>29</v>
      </c>
      <c r="C14" s="64"/>
      <c r="D14" s="16"/>
      <c r="E14" s="38">
        <f>IF('Getting Started'!D$14="Yes",D14,"")</f>
        <v>0</v>
      </c>
      <c r="F14" s="17"/>
      <c r="G14" s="39">
        <f>IF('Getting Started'!D$14="No",D14-F14,IF('Getting Started'!D$14="Yes",E14-F14,""))</f>
        <v>0</v>
      </c>
      <c r="H14" s="60">
        <f>IF('Getting Started'!D$15="Yes",G14,"")</f>
        <v>0</v>
      </c>
      <c r="I14" s="61">
        <f>IF('Getting Started'!D$16="Yes",H14,"")</f>
        <v>0</v>
      </c>
      <c r="J14" s="62"/>
      <c r="K14" s="39">
        <f>IF('Getting Started'!D$15="No","",IF('Getting Started'!D$16="No",H14-J14,IF('Getting Started'!D$16="Yes",I14-J14,"")))</f>
        <v>0</v>
      </c>
      <c r="L14" s="63"/>
      <c r="M14" s="39">
        <f>IF('Getting Started'!D$15="No","",K14-L14)</f>
        <v>0</v>
      </c>
    </row>
    <row r="15" spans="1:13" x14ac:dyDescent="0.35">
      <c r="A15" s="78" t="s">
        <v>31</v>
      </c>
      <c r="C15" s="64"/>
      <c r="D15" s="16"/>
      <c r="E15" s="38">
        <f>IF('Getting Started'!D$14="Yes",D15,"")</f>
        <v>0</v>
      </c>
      <c r="F15" s="17"/>
      <c r="G15" s="39">
        <f>IF('Getting Started'!D$14="No",D15-F15,IF('Getting Started'!D$14="Yes",E15-F15,""))</f>
        <v>0</v>
      </c>
      <c r="H15" s="60">
        <f>IF('Getting Started'!D$15="Yes",G15,"")</f>
        <v>0</v>
      </c>
      <c r="I15" s="61">
        <f>IF('Getting Started'!D$16="Yes",H15,"")</f>
        <v>0</v>
      </c>
      <c r="J15" s="62"/>
      <c r="K15" s="39">
        <f>IF('Getting Started'!D$15="No","",IF('Getting Started'!D$16="No",H15-J15,IF('Getting Started'!D$16="Yes",I15-J15,"")))</f>
        <v>0</v>
      </c>
      <c r="L15" s="63"/>
      <c r="M15" s="39">
        <f>IF('Getting Started'!D$15="No","",K15-L15)</f>
        <v>0</v>
      </c>
    </row>
    <row r="16" spans="1:13" x14ac:dyDescent="0.35">
      <c r="A16" s="78" t="s">
        <v>33</v>
      </c>
      <c r="C16" s="64"/>
      <c r="D16" s="16"/>
      <c r="E16" s="38">
        <f>IF('Getting Started'!D$14="Yes",D16,"")</f>
        <v>0</v>
      </c>
      <c r="F16" s="17"/>
      <c r="G16" s="39">
        <f>IF('Getting Started'!D$14="No",D16-F16,IF('Getting Started'!D$14="Yes",E16-F16,""))</f>
        <v>0</v>
      </c>
      <c r="H16" s="60">
        <f>IF('Getting Started'!D$15="Yes",G16,"")</f>
        <v>0</v>
      </c>
      <c r="I16" s="61">
        <f>IF('Getting Started'!D$16="Yes",H16,"")</f>
        <v>0</v>
      </c>
      <c r="J16" s="62"/>
      <c r="K16" s="39">
        <f>IF('Getting Started'!D$15="No","",IF('Getting Started'!D$16="No",H16-J16,IF('Getting Started'!D$16="Yes",I16-J16,"")))</f>
        <v>0</v>
      </c>
      <c r="L16" s="63"/>
      <c r="M16" s="39">
        <f>IF('Getting Started'!D$15="No","",K16-L16)</f>
        <v>0</v>
      </c>
    </row>
    <row r="17" spans="1:14" x14ac:dyDescent="0.35">
      <c r="A17" s="78" t="s">
        <v>35</v>
      </c>
      <c r="C17" s="64"/>
      <c r="D17" s="16"/>
      <c r="E17" s="38">
        <f>IF('Getting Started'!D$14="Yes",D17,"")</f>
        <v>0</v>
      </c>
      <c r="F17" s="17"/>
      <c r="G17" s="39">
        <f>IF('Getting Started'!D$14="No",D17-F17,IF('Getting Started'!D$14="Yes",E17-F17,""))</f>
        <v>0</v>
      </c>
      <c r="H17" s="60">
        <f>IF('Getting Started'!D$15="Yes",G17,"")</f>
        <v>0</v>
      </c>
      <c r="I17" s="61">
        <f>IF('Getting Started'!D$16="Yes",H17,"")</f>
        <v>0</v>
      </c>
      <c r="J17" s="62"/>
      <c r="K17" s="39">
        <f>IF('Getting Started'!D$15="No","",IF('Getting Started'!D$16="No",H17-J17,IF('Getting Started'!D$16="Yes",I17-J17,"")))</f>
        <v>0</v>
      </c>
      <c r="L17" s="63"/>
      <c r="M17" s="39">
        <f>IF('Getting Started'!D$15="No","",K17-L17)</f>
        <v>0</v>
      </c>
    </row>
    <row r="18" spans="1:14" x14ac:dyDescent="0.35">
      <c r="A18" s="78" t="s">
        <v>37</v>
      </c>
      <c r="C18" s="64"/>
      <c r="D18" s="16"/>
      <c r="E18" s="38">
        <f>IF('Getting Started'!D$14="Yes",D18,"")</f>
        <v>0</v>
      </c>
      <c r="F18" s="17"/>
      <c r="G18" s="39">
        <f>IF('Getting Started'!D$14="No",D18-F18,IF('Getting Started'!D$14="Yes",E18-F18,""))</f>
        <v>0</v>
      </c>
      <c r="H18" s="60">
        <f>IF('Getting Started'!D$15="Yes",G18,"")</f>
        <v>0</v>
      </c>
      <c r="I18" s="61">
        <f>IF('Getting Started'!D$16="Yes",H18,"")</f>
        <v>0</v>
      </c>
      <c r="J18" s="62"/>
      <c r="K18" s="39">
        <f>IF('Getting Started'!D$15="No","",IF('Getting Started'!D$16="No",H18-J18,IF('Getting Started'!D$16="Yes",I18-J18,"")))</f>
        <v>0</v>
      </c>
      <c r="L18" s="63"/>
      <c r="M18" s="39">
        <f>IF('Getting Started'!D$15="No","",K18-L18)</f>
        <v>0</v>
      </c>
    </row>
    <row r="19" spans="1:14" x14ac:dyDescent="0.35">
      <c r="A19" s="78" t="s">
        <v>39</v>
      </c>
      <c r="C19" s="64"/>
      <c r="D19" s="16"/>
      <c r="E19" s="38">
        <f>IF('Getting Started'!D$14="Yes",D19,"")</f>
        <v>0</v>
      </c>
      <c r="F19" s="17"/>
      <c r="G19" s="39">
        <f>IF('Getting Started'!D$14="No",D19-F19,IF('Getting Started'!D$14="Yes",E19-F19,""))</f>
        <v>0</v>
      </c>
      <c r="H19" s="60">
        <f>IF('Getting Started'!D$15="Yes",G19,"")</f>
        <v>0</v>
      </c>
      <c r="I19" s="61">
        <f>IF('Getting Started'!D$16="Yes",H19,"")</f>
        <v>0</v>
      </c>
      <c r="J19" s="62"/>
      <c r="K19" s="39">
        <f>IF('Getting Started'!D$15="No","",IF('Getting Started'!D$16="No",H19-J19,IF('Getting Started'!D$16="Yes",I19-J19,"")))</f>
        <v>0</v>
      </c>
      <c r="L19" s="63"/>
      <c r="M19" s="39">
        <f>IF('Getting Started'!D$15="No","",K19-L19)</f>
        <v>0</v>
      </c>
    </row>
    <row r="20" spans="1:14" x14ac:dyDescent="0.35">
      <c r="A20" s="78" t="s">
        <v>41</v>
      </c>
      <c r="C20" s="64"/>
      <c r="D20" s="16"/>
      <c r="E20" s="38">
        <f>IF('Getting Started'!D$14="Yes",D20,"")</f>
        <v>0</v>
      </c>
      <c r="F20" s="17"/>
      <c r="G20" s="39">
        <f>IF('Getting Started'!D$14="No",D20-F20,IF('Getting Started'!D$14="Yes",E20-F20,""))</f>
        <v>0</v>
      </c>
      <c r="H20" s="60">
        <f>IF('Getting Started'!D$15="Yes",G20,"")</f>
        <v>0</v>
      </c>
      <c r="I20" s="61">
        <f>IF('Getting Started'!D$16="Yes",H20,"")</f>
        <v>0</v>
      </c>
      <c r="J20" s="62"/>
      <c r="K20" s="39">
        <f>IF('Getting Started'!D$15="No","",IF('Getting Started'!D$16="No",H20-J20,IF('Getting Started'!D$16="Yes",I20-J20,"")))</f>
        <v>0</v>
      </c>
      <c r="L20" s="63"/>
      <c r="M20" s="39">
        <f>IF('Getting Started'!D$15="No","",K20-L20)</f>
        <v>0</v>
      </c>
    </row>
    <row r="21" spans="1:14" x14ac:dyDescent="0.35">
      <c r="A21" s="78" t="s">
        <v>43</v>
      </c>
      <c r="C21" s="74"/>
      <c r="D21" s="16"/>
      <c r="E21" s="38">
        <f>IF('Getting Started'!D$14="Yes",D21,"")</f>
        <v>0</v>
      </c>
      <c r="F21" s="17"/>
      <c r="G21" s="39">
        <f>IF('Getting Started'!D$14="No",D21-F21,IF('Getting Started'!D$14="Yes",E21-F21,""))</f>
        <v>0</v>
      </c>
      <c r="H21" s="60">
        <f>IF('Getting Started'!D$15="Yes",G21,"")</f>
        <v>0</v>
      </c>
      <c r="I21" s="61">
        <f>IF('Getting Started'!D$16="Yes",H21,"")</f>
        <v>0</v>
      </c>
      <c r="J21" s="62"/>
      <c r="K21" s="39">
        <f>IF('Getting Started'!D$15="No","",IF('Getting Started'!D$16="No",H21-J21,IF('Getting Started'!D$16="Yes",I21-J21,"")))</f>
        <v>0</v>
      </c>
      <c r="L21" s="63"/>
      <c r="M21" s="39">
        <f>IF('Getting Started'!D$15="No","",K21-L21)</f>
        <v>0</v>
      </c>
    </row>
    <row r="22" spans="1:14" x14ac:dyDescent="0.35">
      <c r="A22" s="78" t="s">
        <v>45</v>
      </c>
      <c r="C22" s="74"/>
      <c r="D22" s="16"/>
      <c r="E22" s="38">
        <f>IF('Getting Started'!D$14="Yes",D22,"")</f>
        <v>0</v>
      </c>
      <c r="F22" s="17"/>
      <c r="G22" s="39">
        <f>IF('Getting Started'!D$14="No",D22-F22,IF('Getting Started'!D$14="Yes",E22-F22,""))</f>
        <v>0</v>
      </c>
      <c r="H22" s="60">
        <f>IF('Getting Started'!D$15="Yes",G22,"")</f>
        <v>0</v>
      </c>
      <c r="I22" s="61">
        <f>IF('Getting Started'!D$16="Yes",H22,"")</f>
        <v>0</v>
      </c>
      <c r="J22" s="62"/>
      <c r="K22" s="39">
        <f>IF('Getting Started'!D$15="No","",IF('Getting Started'!D$16="No",H22-J22,IF('Getting Started'!D$16="Yes",I22-J22,"")))</f>
        <v>0</v>
      </c>
      <c r="L22" s="63"/>
      <c r="M22" s="39">
        <f>IF('Getting Started'!D$15="No","",K22-L22)</f>
        <v>0</v>
      </c>
    </row>
    <row r="23" spans="1:14" x14ac:dyDescent="0.35">
      <c r="A23" s="78" t="s">
        <v>47</v>
      </c>
      <c r="C23" s="74"/>
      <c r="D23" s="16"/>
      <c r="E23" s="38">
        <f>IF('Getting Started'!D$14="Yes",D23,"")</f>
        <v>0</v>
      </c>
      <c r="F23" s="17"/>
      <c r="G23" s="39">
        <f>IF('Getting Started'!D$14="No",D23-F23,IF('Getting Started'!D$14="Yes",E23-F23,""))</f>
        <v>0</v>
      </c>
      <c r="H23" s="60">
        <f>IF('Getting Started'!D$15="Yes",G23,"")</f>
        <v>0</v>
      </c>
      <c r="I23" s="61">
        <f>IF('Getting Started'!D$16="Yes",H23,"")</f>
        <v>0</v>
      </c>
      <c r="J23" s="62"/>
      <c r="K23" s="39">
        <f>IF('Getting Started'!D$15="No","",IF('Getting Started'!D$16="No",H23-J23,IF('Getting Started'!D$16="Yes",I23-J23,"")))</f>
        <v>0</v>
      </c>
      <c r="L23" s="63"/>
      <c r="M23" s="39">
        <f>IF('Getting Started'!D$15="No","",K23-L23)</f>
        <v>0</v>
      </c>
    </row>
    <row r="24" spans="1:14" x14ac:dyDescent="0.35">
      <c r="A24" s="78" t="s">
        <v>49</v>
      </c>
      <c r="C24" s="65" t="s">
        <v>183</v>
      </c>
      <c r="D24" s="15">
        <f>SUM(D4:D23)</f>
        <v>0</v>
      </c>
      <c r="E24" s="41">
        <f>IF('Getting Started'!D14="No","",SUM(E4:E23))</f>
        <v>0</v>
      </c>
      <c r="F24" s="41">
        <f t="shared" ref="F24:M24" si="0">SUM(F4:F23)</f>
        <v>0</v>
      </c>
      <c r="G24" s="39">
        <f t="shared" si="0"/>
        <v>0</v>
      </c>
      <c r="H24" s="41">
        <f>IF('Getting Started'!D15="No","",SUM(H4:H23))</f>
        <v>0</v>
      </c>
      <c r="I24" s="41">
        <f>IF('Getting Started'!D16="No","",SUM(I4:I23))</f>
        <v>0</v>
      </c>
      <c r="J24" s="39">
        <f t="shared" si="0"/>
        <v>0</v>
      </c>
      <c r="K24" s="39">
        <f t="shared" si="0"/>
        <v>0</v>
      </c>
      <c r="L24" s="15">
        <f t="shared" si="0"/>
        <v>0</v>
      </c>
      <c r="M24" s="41">
        <f t="shared" si="0"/>
        <v>0</v>
      </c>
    </row>
    <row r="25" spans="1:14" x14ac:dyDescent="0.35">
      <c r="A25" s="78" t="s">
        <v>51</v>
      </c>
    </row>
    <row r="26" spans="1:14" x14ac:dyDescent="0.35">
      <c r="A26" s="79" t="s">
        <v>53</v>
      </c>
      <c r="C26" s="123"/>
    </row>
    <row r="27" spans="1:14" x14ac:dyDescent="0.35">
      <c r="A27" s="78" t="s">
        <v>55</v>
      </c>
      <c r="C27" s="123" t="s">
        <v>221</v>
      </c>
    </row>
    <row r="28" spans="1:14" x14ac:dyDescent="0.35">
      <c r="A28" s="142" t="s">
        <v>5</v>
      </c>
      <c r="B28" s="142"/>
      <c r="C28" s="142"/>
      <c r="D28" s="142"/>
      <c r="E28" s="142"/>
      <c r="F28" s="142"/>
      <c r="G28" s="142"/>
      <c r="H28" s="142"/>
      <c r="I28" s="142"/>
      <c r="J28" s="142"/>
      <c r="K28" s="142"/>
      <c r="L28" s="142"/>
      <c r="M28" s="142"/>
      <c r="N28" s="142"/>
    </row>
  </sheetData>
  <sheetProtection algorithmName="SHA-512" hashValue="BDp2/UArr5epytUSXbS5+/me0NXErnjEQTGS286cPCH+Qbf67xCIej5H28W87T8F1grZcace/Kn6JrgczUlowA==" saltValue="CXHX4b7yvwt86J4iGm+w3Q==" spinCount="100000" sheet="1" objects="1" scenarios="1"/>
  <mergeCells count="1">
    <mergeCell ref="A28:N28"/>
  </mergeCells>
  <conditionalFormatting sqref="G4:G24 K4:K24 M4:M24">
    <cfRule type="cellIs" dxfId="70" priority="1" operator="lessThan">
      <formula>0</formula>
    </cfRule>
  </conditionalFormatting>
  <dataValidations count="3">
    <dataValidation allowBlank="1" showInputMessage="1" showErrorMessage="1" prompt="To create a revised budget, select &quot;Yes&quot; in cell D14 on the Getting Started tab." sqref="E4" xr:uid="{68AAADFD-CAEC-406E-AAEA-7E3F87FE5A08}"/>
    <dataValidation allowBlank="1" showInputMessage="1" showErrorMessage="1" prompt="To create a Tydings Period budget, select “Yes” in cell D15 on the Getting Started tab." sqref="H4" xr:uid="{30042A53-E877-486F-BF58-5B4F456D4EC5}"/>
    <dataValidation allowBlank="1" showInputMessage="1" showErrorMessage="1" prompt="To create a revised Tydings Period budget, select “Yes” in cell D16 on the Getting Started tab." sqref="I4" xr:uid="{7B920418-DABC-4153-B0EF-3CFCDC1FA1E3}"/>
  </dataValidations>
  <hyperlinks>
    <hyperlink ref="A2" location="'Table of Contents'!A1" display="Table of Contents" xr:uid="{A68709E5-7ABA-49B2-94F9-9C0141D0D592}"/>
    <hyperlink ref="A3" location="'Getting Started'!A1" display="Getting Started" xr:uid="{848FAB1D-8F13-4DE9-AB60-6AC5A9801074}"/>
    <hyperlink ref="A6" location="'a. Part B Administration'!A1" display="a. Part B Administration" xr:uid="{255DFD4E-D1E7-4693-AF4E-78F908CC18F0}"/>
    <hyperlink ref="A7" location="'b. Part C Administration'!A1" display="b. Part C Administration" xr:uid="{B88C8768-B87A-45CC-9965-3AA6337B3364}"/>
    <hyperlink ref="A9" location="'d. PBIS and Mental Health'!A1" display="d. PBIS and Mental Health" xr:uid="{1A4CDC7F-01A4-4717-8B54-498BDB4F7D5B}"/>
    <hyperlink ref="A10" location="'e. Personnel Shortages'!A1" display="e. Personnel Shortages" xr:uid="{A86EC088-37C4-4C31-BE15-1A900521BE68}"/>
    <hyperlink ref="A8" location="'c. Support and Direct Services'!A1" display="c. Support and Direct Services" xr:uid="{61CFA5B4-EE32-447D-BCB0-CAEC8C5F6C51}"/>
    <hyperlink ref="A12" location="'g. Joint Part C Policy'!A1" display="g. Joint Part C Policy" xr:uid="{69AE6367-09E8-4CC1-8628-9CDD9E69B061}"/>
    <hyperlink ref="A14" location="'h. Monitoring and Enforcement'!A1" display="h. Monitoring and Enforcement" xr:uid="{35A38ACE-52E7-4E85-A8E8-2643BEEE09CE}"/>
    <hyperlink ref="A15" location="'i. Mediation Process'!A1" display="i. Mediation Process" xr:uid="{1165F3DE-C15E-4598-A1B9-622277E58104}"/>
    <hyperlink ref="A16" location="'j. Support and Direct Services'!A1" display="j. Support and Direct Services" xr:uid="{9DAA9C8B-06C0-4CAB-8875-BE0B8E2B5F7E}"/>
    <hyperlink ref="A17" location="'k. PBIS and Mental Health'!A1" display="k. PBIS and Mental Health" xr:uid="{E75BE082-0B82-4E6A-BD23-58A64933506C}"/>
    <hyperlink ref="A18" location="'l. Personnel Shortages'!A1" display="l. Personnel Shortages" xr:uid="{F5568FCD-F6B7-43DF-A0FC-BEB137DA3611}"/>
    <hyperlink ref="A19" location="'m. Capacity Building'!A1" display="m. Capacity Building" xr:uid="{5AFCD2C0-EAD4-4F42-9283-E381BA7EDA22}"/>
    <hyperlink ref="A20" location="'n. Paperwork Reduction'!A1" display="n. Paperwork Reduction" xr:uid="{DCCEF9A1-9EAC-4545-A89D-6B6110DC05D0}"/>
    <hyperlink ref="A21" location="'o. Improve Tech Use in Class'!A1" display="o. Improve Tech Use in Class" xr:uid="{86DFC76B-CF35-49F4-AC12-8DFF6588924D}"/>
    <hyperlink ref="A22" location="'p. Technology for Access'!A1" display="p. Technology for Access" xr:uid="{D94DEFE5-5A15-423D-8693-C4B687938E9C}"/>
    <hyperlink ref="A23" location="'q. Transition Programs'!A1" display="q. Transition Programs" xr:uid="{8F6EFFDD-C2F9-4815-AC4C-36743AED9171}"/>
    <hyperlink ref="A24" location="'r. Alternative Programming'!A1" display="r. Alternative Programming" xr:uid="{51F049CA-55EE-4DE0-AE1B-362670A11FEE}"/>
    <hyperlink ref="A26" location="'t. TA for Acad Achievement'!A1" display="t. TA for Acad Achievement" xr:uid="{CA8D24A3-B15B-4028-807D-830781033877}"/>
    <hyperlink ref="A27" location="'u-v. High Cost Fund'!A1" display="u-v. High Cost Fund" xr:uid="{7B67FEDE-B1A5-49E1-AB03-7D35922B623C}"/>
    <hyperlink ref="A4" location="'State Set-Aside Overview'!A1" display="State Set-Aside Overview" xr:uid="{0A51B29D-2010-49F5-8BCF-E76E5D15B3D0}"/>
    <hyperlink ref="A11" location="'f. Capacity Building'!A1" display="f. Capacity Building" xr:uid="{E9DE15E9-AF74-42EF-82D5-B253CA15C0AF}"/>
    <hyperlink ref="A25" location="'s. Accom and Alt Assessments'!A1" display="s. Accom and Alt Assessments" xr:uid="{6232A91A-F376-46B8-BABA-55F0EA64BD5B}"/>
  </hyperlinks>
  <pageMargins left="0.7" right="0.7" top="0.75" bottom="0.75" header="0.3" footer="0.3"/>
  <ignoredErrors>
    <ignoredError sqref="E5:E23 H5:I23" unlockedFormula="1"/>
    <ignoredError sqref="E24 I24" formula="1"/>
    <ignoredError sqref="G4:G24 K4:K24 M4:M24" calculatedColumn="1"/>
  </ignoredErrors>
  <tableParts count="1">
    <tablePart r:id="rId1"/>
  </tableParts>
  <extLst>
    <ext xmlns:x14="http://schemas.microsoft.com/office/spreadsheetml/2009/9/main" uri="{78C0D931-6437-407d-A8EE-F0AAD7539E65}">
      <x14:conditionalFormattings>
        <x14:conditionalFormatting xmlns:xm="http://schemas.microsoft.com/office/excel/2006/main">
          <x14:cfRule type="expression" priority="4" id="{160A4184-60BD-419E-8D4F-29E9E222F0DD}">
            <xm:f>'Getting Started'!$D$14="No"</xm:f>
            <x14:dxf>
              <fill>
                <patternFill>
                  <bgColor theme="1"/>
                </patternFill>
              </fill>
            </x14:dxf>
          </x14:cfRule>
          <xm:sqref>E4:E24</xm:sqref>
        </x14:conditionalFormatting>
        <x14:conditionalFormatting xmlns:xm="http://schemas.microsoft.com/office/excel/2006/main">
          <x14:cfRule type="expression" priority="2" id="{EB5BCD54-9FC5-4522-9BF8-466E3608974C}">
            <xm:f>'Getting Started'!$D$15="No"</xm:f>
            <x14:dxf>
              <fill>
                <patternFill>
                  <bgColor theme="1"/>
                </patternFill>
              </fill>
            </x14:dxf>
          </x14:cfRule>
          <xm:sqref>H4:H24</xm:sqref>
        </x14:conditionalFormatting>
        <x14:conditionalFormatting xmlns:xm="http://schemas.microsoft.com/office/excel/2006/main">
          <x14:cfRule type="expression" priority="3" id="{B76B38F0-4A27-4ACA-B6EB-6D4E6022C2A6}">
            <xm:f>'Getting Started'!$D$16="No"</xm:f>
            <x14:dxf>
              <fill>
                <patternFill>
                  <bgColor theme="1"/>
                </patternFill>
              </fill>
            </x14:dxf>
          </x14:cfRule>
          <xm:sqref>I4:I24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Title Page</vt:lpstr>
      <vt:lpstr>Table of Contents</vt:lpstr>
      <vt:lpstr>Getting Started</vt:lpstr>
      <vt:lpstr>2004 Admin Data</vt:lpstr>
      <vt:lpstr>State Set-Aside Overview</vt:lpstr>
      <vt:lpstr>a. Part B Administration</vt:lpstr>
      <vt:lpstr>b. Part C Administration</vt:lpstr>
      <vt:lpstr>c. Support and Direct Services</vt:lpstr>
      <vt:lpstr>d. PBIS and Mental Health</vt:lpstr>
      <vt:lpstr>e. Personnel Shortages</vt:lpstr>
      <vt:lpstr>f. Capacity Building</vt:lpstr>
      <vt:lpstr>g. Joint Part C Policy</vt:lpstr>
      <vt:lpstr>h. Monitoring and Enforcement</vt:lpstr>
      <vt:lpstr>i. Mediation Process</vt:lpstr>
      <vt:lpstr>j. Support and Direct Services</vt:lpstr>
      <vt:lpstr>k. PBIS and Mental Health</vt:lpstr>
      <vt:lpstr>l. Personnel Shortages</vt:lpstr>
      <vt:lpstr>m. Capacity Building</vt:lpstr>
      <vt:lpstr>n. Paperwork Reduction</vt:lpstr>
      <vt:lpstr>o. Improve Tech Use in Class</vt:lpstr>
      <vt:lpstr>p. Technology for Access</vt:lpstr>
      <vt:lpstr>q. Transition Programs</vt:lpstr>
      <vt:lpstr>r. Alternative Programming</vt:lpstr>
      <vt:lpstr>s. Accom and Alt Assessments</vt:lpstr>
      <vt:lpstr>t. TA for Acad Achievement</vt:lpstr>
      <vt:lpstr>u-v. High Cost Fund</vt:lpstr>
    </vt:vector>
  </TitlesOfParts>
  <Manager/>
  <Company>Westat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Laura Johnson</dc:creator>
  <cp:keywords/>
  <dc:description/>
  <cp:lastModifiedBy>Laura Johnson</cp:lastModifiedBy>
  <cp:revision/>
  <dcterms:created xsi:type="dcterms:W3CDTF">2023-05-22T15:16:44Z</dcterms:created>
  <dcterms:modified xsi:type="dcterms:W3CDTF">2025-02-26T16:27:55Z</dcterms:modified>
  <cp:category/>
  <cp:contentStatus/>
</cp:coreProperties>
</file>